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📋 Instructions" sheetId="1" state="visible" r:id="rId3"/>
    <sheet name="⚙️ Assumptions" sheetId="2" state="visible" r:id="rId4"/>
    <sheet name="📊 Funnel Conversion" sheetId="3" state="visible" r:id="rId5"/>
    <sheet name="🎯 Coverage Analysis" sheetId="4" state="visible" r:id="rId6"/>
    <sheet name="📈 Velocity Dashboard" sheetId="5" state="visible" r:id="rId7"/>
    <sheet name="📋 Board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<sst xmlns="http://schemas.openxmlformats.org/spreadsheetml/2006/main" count="207" uniqueCount="171">
  <si>
    <t xml:space="preserve">EfuturesCFO Inc. — Pipeline-to-Revenue Conversion Model</t>
  </si>
  <si>
    <t xml:space="preserve">Stage-by-Stage Funnel Conversion  |  Win Rate &amp; Velocity Analytics  |  Pipeline Coverage Diagnostics</t>
  </si>
  <si>
    <t xml:space="preserve">HOW TO USE THIS MODEL</t>
  </si>
  <si>
    <t xml:space="preserve">Step 1</t>
  </si>
  <si>
    <t xml:space="preserve">Go to ⚙️ Assumptions. Enter your revenue target, average deal sizes, historical win rates at each stage, and sales cycle lengths by segment. All blue cells are editable inputs.</t>
  </si>
  <si>
    <t xml:space="preserve">Step 2</t>
  </si>
  <si>
    <t xml:space="preserve">The 📊 Funnel Conversion tab auto-calculates volume required at every stage, cumulative conversion rates, and flags where your funnel is leaking relative to benchmarks.</t>
  </si>
  <si>
    <t xml:space="preserve">Step 3</t>
  </si>
  <si>
    <t xml:space="preserve">Review 🎯 Coverage Analysis for required pipeline coverage ratios by segment — how much pipeline you need at each stage to hit your revenue target.</t>
  </si>
  <si>
    <t xml:space="preserve">Step 4</t>
  </si>
  <si>
    <t xml:space="preserve">The 📈 Velocity Dashboard shows average deal velocity (days per stage), weighted pipeline value, and Sales Efficiency Score for each segment.</t>
  </si>
  <si>
    <t xml:space="preserve">Step 5</t>
  </si>
  <si>
    <t xml:space="preserve">The 📋 Board Summary auto-populates all key metrics — funnel health, coverage gaps, and top leak points — ready for CRO or board presentation.</t>
  </si>
  <si>
    <t xml:space="preserve">COLOUR CODING KEY</t>
  </si>
  <si>
    <t xml:space="preserve">Blue text</t>
  </si>
  <si>
    <t xml:space="preserve">Hardcoded input — change these to your data</t>
  </si>
  <si>
    <t xml:space="preserve">Black text</t>
  </si>
  <si>
    <t xml:space="preserve">Formula — do not overwrite</t>
  </si>
  <si>
    <t xml:space="preserve">Green fill</t>
  </si>
  <si>
    <t xml:space="preserve">Stage is healthy — conversion at or above benchmark</t>
  </si>
  <si>
    <t xml:space="preserve">Amber fill</t>
  </si>
  <si>
    <t xml:space="preserve">Stage needs attention — conversion below benchmark</t>
  </si>
  <si>
    <t xml:space="preserve">Red fill</t>
  </si>
  <si>
    <t xml:space="preserve">Stage is leaking — critical conversion gap flagged</t>
  </si>
  <si>
    <t xml:space="preserve">© 2025 EfuturesCFO Inc. — For internal and board use only. Not for distribution.</t>
  </si>
  <si>
    <t xml:space="preserve">⚙️  Model Assumptions — EfuturesCFO Inc. Pipeline-to-Revenue Model</t>
  </si>
  <si>
    <t xml:space="preserve">A.  REVENUE TARGET &amp; MODEL PERIOD</t>
  </si>
  <si>
    <t xml:space="preserve">Annual Revenue Target (ARR)</t>
  </si>
  <si>
    <t xml:space="preserve">Work-back target for pipeline coverage</t>
  </si>
  <si>
    <t xml:space="preserve">Model Period</t>
  </si>
  <si>
    <t xml:space="preserve">FY 2025</t>
  </si>
  <si>
    <t xml:space="preserve">Label only</t>
  </si>
  <si>
    <t xml:space="preserve">Avg Months Remaining in Period</t>
  </si>
  <si>
    <t xml:space="preserve">Used to annualise partial-year targets</t>
  </si>
  <si>
    <t xml:space="preserve">B.  AVERAGE DEAL SIZE (ACV) BY SEGMENT</t>
  </si>
  <si>
    <t xml:space="preserve">ACV — Enterprise</t>
  </si>
  <si>
    <t xml:space="preserve">ACV — Mid-Market</t>
  </si>
  <si>
    <t xml:space="preserve">ACV — SMB</t>
  </si>
  <si>
    <t xml:space="preserve">ACV — Channel / Partner</t>
  </si>
  <si>
    <t xml:space="preserve">C.  STAGE-TO-STAGE CONVERSION RATES  (% advancing to next stage)</t>
  </si>
  <si>
    <t xml:space="preserve">Conversion Stage</t>
  </si>
  <si>
    <t xml:space="preserve">Enterprise</t>
  </si>
  <si>
    <t xml:space="preserve">Mid-Market</t>
  </si>
  <si>
    <t xml:space="preserve">SMB</t>
  </si>
  <si>
    <t xml:space="preserve">Channel</t>
  </si>
  <si>
    <t xml:space="preserve">Lead → MQL</t>
  </si>
  <si>
    <t xml:space="preserve">MQL → SAL</t>
  </si>
  <si>
    <t xml:space="preserve">SAL → SQL</t>
  </si>
  <si>
    <t xml:space="preserve">SQL → Proposal</t>
  </si>
  <si>
    <t xml:space="preserve">Proposal → Won</t>
  </si>
  <si>
    <t xml:space="preserve">D.  BENCHMARK CONVERSION RATES (for leak detection — do not change)</t>
  </si>
  <si>
    <t xml:space="preserve">Benchmark: Lead → MQL</t>
  </si>
  <si>
    <t xml:space="preserve">Industry benchmark — adjust if you have sector-specific data</t>
  </si>
  <si>
    <t xml:space="preserve">Benchmark: MQL → SAL</t>
  </si>
  <si>
    <t xml:space="preserve">Benchmark: SAL → SQL</t>
  </si>
  <si>
    <t xml:space="preserve">Benchmark: SQL → Proposal</t>
  </si>
  <si>
    <t xml:space="preserve">Benchmark: Proposal → Won</t>
  </si>
  <si>
    <t xml:space="preserve">E.  AVERAGE DAYS PER STAGE (Sales Velocity) BY SEGMENT</t>
  </si>
  <si>
    <t xml:space="preserve">Stage</t>
  </si>
  <si>
    <t xml:space="preserve">Days: Lead → MQL</t>
  </si>
  <si>
    <t xml:space="preserve">Days: MQL → SAL</t>
  </si>
  <si>
    <t xml:space="preserve">Days: SAL → SQL</t>
  </si>
  <si>
    <t xml:space="preserve">Days: SQL → Proposal</t>
  </si>
  <si>
    <t xml:space="preserve">Days: Proposal → Won</t>
  </si>
  <si>
    <t xml:space="preserve">F.  SEGMENT REVENUE TARGET MIX (must sum to 100%)</t>
  </si>
  <si>
    <t xml:space="preserve">Revenue Target Mix — Enterprise</t>
  </si>
  <si>
    <t xml:space="preserve">Revenue Target Mix — Mid-Market</t>
  </si>
  <si>
    <t xml:space="preserve">Revenue Target Mix — SMB</t>
  </si>
  <si>
    <t xml:space="preserve">Revenue Target Mix — Channel / Partner</t>
  </si>
  <si>
    <t xml:space="preserve">Mix Total (must = 100%)</t>
  </si>
  <si>
    <t xml:space="preserve">ℹ  All blue / yellow cells are editable inputs. Benchmark rates (Section D) should only change if you have sector-specific data.</t>
  </si>
  <si>
    <t xml:space="preserve">📊  Stage-by-Stage Funnel Conversion — EfuturesCFO Inc.</t>
  </si>
  <si>
    <t xml:space="preserve">STAGE-BY-STAGE VOLUME, CONVERSION &amp; LEAK ANALYSIS</t>
  </si>
  <si>
    <t xml:space="preserve">PIPELINE STAGE</t>
  </si>
  <si>
    <t xml:space="preserve">Channel / Partner</t>
  </si>
  <si>
    <t xml:space="preserve">COMBINED TOTAL</t>
  </si>
  <si>
    <t xml:space="preserve">BENCHMARK</t>
  </si>
  <si>
    <t xml:space="preserve">STATUS / GAP</t>
  </si>
  <si>
    <t xml:space="preserve">A.  DEALS REQUIRED TO HIT REVENUE TARGET</t>
  </si>
  <si>
    <t xml:space="preserve">Segment Revenue Target ($)</t>
  </si>
  <si>
    <t xml:space="preserve">Closed Won Deals Required</t>
  </si>
  <si>
    <t xml:space="preserve">B.  VOLUME REQUIRED AT EACH STAGE (working backwards from Closed Won)</t>
  </si>
  <si>
    <t xml:space="preserve">Closed Won (deals)</t>
  </si>
  <si>
    <t xml:space="preserve">Proposal / Demo Stage</t>
  </si>
  <si>
    <t xml:space="preserve">SQL (Sales Qualified Lead)</t>
  </si>
  <si>
    <t xml:space="preserve">SAL (Sales Accepted Lead)</t>
  </si>
  <si>
    <t xml:space="preserve">MQL (Mktg Qualified Lead)</t>
  </si>
  <si>
    <t xml:space="preserve">Awareness / Lead</t>
  </si>
  <si>
    <t xml:space="preserve">C.  CUMULATIVE CONVERSION RATE  (Stage → Closed Won)</t>
  </si>
  <si>
    <t xml:space="preserve">Lead → Closed Won (overall)</t>
  </si>
  <si>
    <t xml:space="preserve">MQL → Closed Won</t>
  </si>
  <si>
    <t xml:space="preserve">N/A</t>
  </si>
  <si>
    <t xml:space="preserve">SAL → Closed Won</t>
  </si>
  <si>
    <t xml:space="preserve">SQL → Closed Won</t>
  </si>
  <si>
    <t xml:space="preserve">Proposal → Closed Won</t>
  </si>
  <si>
    <t xml:space="preserve">D.  FUNNEL LEAK DETECTION  (actual conversion vs. benchmark)</t>
  </si>
  <si>
    <t xml:space="preserve">🎯  Pipeline Coverage Analysis — EfuturesCFO Inc.</t>
  </si>
  <si>
    <t xml:space="preserve">COVERAGE METRIC</t>
  </si>
  <si>
    <t xml:space="preserve">COMBINED</t>
  </si>
  <si>
    <t xml:space="preserve">STATUS</t>
  </si>
  <si>
    <t xml:space="preserve">A.  PIPELINE VALUE AT EACH STAGE (Deals × ACV)</t>
  </si>
  <si>
    <t xml:space="preserve">Pipeline Value — Proposal Stage</t>
  </si>
  <si>
    <t xml:space="preserve">Pipeline Value — SQL Stage</t>
  </si>
  <si>
    <t xml:space="preserve">Pipeline Value — SAL Stage</t>
  </si>
  <si>
    <t xml:space="preserve">Pipeline Value — MQL Stage</t>
  </si>
  <si>
    <t xml:space="preserve">Pipeline Value — Lead Stage</t>
  </si>
  <si>
    <t xml:space="preserve">B.  PIPELINE COVERAGE RATIO  (Pipeline Value ÷ Revenue Target)</t>
  </si>
  <si>
    <t xml:space="preserve">Coverage Ratio — Proposal Stage</t>
  </si>
  <si>
    <t xml:space="preserve">Coverage Ratio — SQL Stage</t>
  </si>
  <si>
    <t xml:space="preserve">Coverage Ratio — SAL Stage</t>
  </si>
  <si>
    <t xml:space="preserve">Coverage Ratio — MQL Stage</t>
  </si>
  <si>
    <t xml:space="preserve">Coverage Ratio — Lead Stage</t>
  </si>
  <si>
    <t xml:space="preserve">C.  GAP ANALYSIS — ADDITIONAL PIPELINE NEEDED TO HIT TARGET</t>
  </si>
  <si>
    <t xml:space="preserve">Gap: Proposal Stage (need 3x, have ?x)</t>
  </si>
  <si>
    <t xml:space="preserve">Gap: SQL Stage (need 5x, have ?x)</t>
  </si>
  <si>
    <t xml:space="preserve">Gap: SAL Stage (need 8x, have ?x)</t>
  </si>
  <si>
    <t xml:space="preserve">📈  Sales Velocity &amp; Efficiency Dashboard — EfuturesCFO Inc.</t>
  </si>
  <si>
    <t xml:space="preserve">METRIC</t>
  </si>
  <si>
    <t xml:space="preserve">NOTE</t>
  </si>
  <si>
    <t xml:space="preserve">A.  AVERAGE DAYS PER STAGE (Sales Cycle Breakdown)</t>
  </si>
  <si>
    <t xml:space="preserve">TOTAL SALES CYCLE (Lead to Close)</t>
  </si>
  <si>
    <t xml:space="preserve">B.  WEIGHTED PIPELINE VALUE (by stage probability)</t>
  </si>
  <si>
    <t xml:space="preserve">Proposal Stage (est. 35% close prob.)</t>
  </si>
  <si>
    <t xml:space="preserve">SQL Stage (est. 22% close prob.)</t>
  </si>
  <si>
    <t xml:space="preserve">SAL Stage (est. 12% close prob.)</t>
  </si>
  <si>
    <t xml:space="preserve">MQL Stage (est. 5% close prob.)</t>
  </si>
  <si>
    <t xml:space="preserve">TOTAL WEIGHTED PIPELINE</t>
  </si>
  <si>
    <t xml:space="preserve">C.  SALES EFFICIENCY METRICS</t>
  </si>
  <si>
    <t xml:space="preserve">Overall Win Rate (Lead → Won)</t>
  </si>
  <si>
    <t xml:space="preserve">'📊 Funnel Conversion'!G18</t>
  </si>
  <si>
    <t xml:space="preserve">Cumulative end-to-end conversion</t>
  </si>
  <si>
    <t xml:space="preserve">Avg Weighted Pipeline per Deal</t>
  </si>
  <si>
    <t xml:space="preserve">Expected value per deal in pipeline</t>
  </si>
  <si>
    <t xml:space="preserve">Revenue per Day of Sales Cycle</t>
  </si>
  <si>
    <t xml:space="preserve">ARR target ÷ weighted avg cycle</t>
  </si>
  <si>
    <t xml:space="preserve">Pipeline Velocity Index</t>
  </si>
  <si>
    <t xml:space="preserve">Weighted pipeline ÷ revenue target</t>
  </si>
  <si>
    <t xml:space="preserve">EfuturesCFO Inc.
Pipeline-to-Revenue: Funnel Health Summary — FY 2025</t>
  </si>
  <si>
    <t xml:space="preserve">KEY PIPELINE &amp; FUNNEL METRICS</t>
  </si>
  <si>
    <t xml:space="preserve">Revenue Target (FY 2025)</t>
  </si>
  <si>
    <t xml:space="preserve">Model input from Assumptions</t>
  </si>
  <si>
    <t xml:space="preserve">Total Closed Won Deals Required</t>
  </si>
  <si>
    <t xml:space="preserve">Working backwards from target</t>
  </si>
  <si>
    <t xml:space="preserve">Overall Win Rate (Lead to Close)</t>
  </si>
  <si>
    <t xml:space="preserve">Proposal Stage Pipeline (value)</t>
  </si>
  <si>
    <t xml:space="preserve">Highest-quality late-stage pipe</t>
  </si>
  <si>
    <t xml:space="preserve">SQL Stage Pipeline (value)</t>
  </si>
  <si>
    <t xml:space="preserve">Qualified opportunities in pipe</t>
  </si>
  <si>
    <t xml:space="preserve">Proposal Coverage Ratio</t>
  </si>
  <si>
    <t xml:space="preserve">Target: 3x minimum</t>
  </si>
  <si>
    <t xml:space="preserve">SQL Coverage Ratio</t>
  </si>
  <si>
    <t xml:space="preserve">Target: 5x minimum</t>
  </si>
  <si>
    <t xml:space="preserve">Total Weighted Pipeline</t>
  </si>
  <si>
    <t xml:space="preserve">Probability-weighted pipeline value</t>
  </si>
  <si>
    <t xml:space="preserve">&gt;1x = pipeline exceeds target</t>
  </si>
  <si>
    <t xml:space="preserve">Total Sales Cycle (avg days)</t>
  </si>
  <si>
    <t xml:space="preserve">Lead to close, weighted avg</t>
  </si>
  <si>
    <t xml:space="preserve">Top Leak Stage</t>
  </si>
  <si>
    <t xml:space="preserve">Largest negative gap vs. benchmark</t>
  </si>
  <si>
    <t xml:space="preserve">COVERAGE DECISION GUIDE FOR BOARD</t>
  </si>
  <si>
    <t xml:space="preserve">Proposal Coverage &lt; 3x</t>
  </si>
  <si>
    <t xml:space="preserve">URGENT. Insufficient late-stage pipeline. Accelerate qualification from SQL. Review deal slippage.</t>
  </si>
  <si>
    <t xml:space="preserve">SQL Coverage &lt; 5x</t>
  </si>
  <si>
    <t xml:space="preserve">ACTION. Need more qualified opportunities. Audit SAL→SQL conversion gate — likely process gap.</t>
  </si>
  <si>
    <t xml:space="preserve">Win Rate &lt; 20%</t>
  </si>
  <si>
    <t xml:space="preserve">INVESTIGATE. Competitive loss rate is high. Run win/loss analysis. Review proposal quality and champion engagement.</t>
  </si>
  <si>
    <t xml:space="preserve">Cycle &gt; 90 days avg</t>
  </si>
  <si>
    <t xml:space="preserve">REVIEW. Sales cycle above benchmark. Identify stuck deals at each stage and implement escalation protocols.</t>
  </si>
  <si>
    <t xml:space="preserve">Top Leak = Lead→MQL</t>
  </si>
  <si>
    <t xml:space="preserve">MARKETING FOCUS. Volume is entering but quality is low. Tighten ICP definition and MQL scoring criteria.</t>
  </si>
  <si>
    <t xml:space="preserve">© 2025 EfuturesCFO Inc.  |  Model auto-updates from ⚙️ Assumptions  |  For internal and board use only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</si>
</sst>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;&quot;($&quot;#,##0\);\-"/>
    <numFmt numFmtId="166" formatCode="#,##0;\(#,##0\);\-"/>
    <numFmt numFmtId="167" formatCode="0.0%;\(0.0%\);\-"/>
    <numFmt numFmtId="168" formatCode="0.0\x;\(0.0&quot;x)&quot;;\-"/>
    <numFmt numFmtId="169" formatCode="#,##0&quot; days&quot;;\(#,##0&quot; days)&quot;;\-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sz val="11"/>
      <color rgb="FFC9A84C"/>
      <name val="Arial"/>
      <family val="0"/>
      <charset val="1"/>
    </font>
    <font>
      <b val="true"/>
      <sz val="12"/>
      <color rgb="FF1B3A6B"/>
      <name val="Arial"/>
      <family val="0"/>
      <charset val="1"/>
    </font>
    <font>
      <b val="true"/>
      <sz val="10"/>
      <color rgb="FF2C2C2C"/>
      <name val="Arial"/>
      <family val="0"/>
      <charset val="1"/>
    </font>
    <font>
      <sz val="10"/>
      <color rgb="FF2C2C2C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1A6B3C"/>
      <name val="Arial"/>
      <family val="0"/>
      <charset val="1"/>
    </font>
    <font>
      <b val="true"/>
      <sz val="10"/>
      <color rgb="FF856404"/>
      <name val="Arial"/>
      <family val="0"/>
      <charset val="1"/>
    </font>
    <font>
      <b val="true"/>
      <sz val="10"/>
      <color rgb="FF8B1A1A"/>
      <name val="Arial"/>
      <family val="0"/>
      <charset val="1"/>
    </font>
    <font>
      <i val="true"/>
      <sz val="9"/>
      <color rgb="FF6B6B6B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1B3A6B"/>
      <name val="Arial"/>
      <family val="0"/>
      <charset val="1"/>
    </font>
    <font>
      <sz val="10"/>
      <color rgb="FF0C5460"/>
      <name val="Arial"/>
      <family val="0"/>
      <charset val="1"/>
    </font>
    <font>
      <sz val="10"/>
      <color rgb="FF856404"/>
      <name val="Arial"/>
      <family val="0"/>
      <charset val="1"/>
    </font>
    <font>
      <sz val="10"/>
      <color rgb="FF8B1A1A"/>
      <name val="Arial"/>
      <family val="0"/>
      <charset val="1"/>
    </font>
    <font>
      <sz val="10"/>
      <color rgb="FF6B6B6B"/>
      <name val="Arial"/>
      <family val="0"/>
      <charset val="1"/>
    </font>
    <font>
      <sz val="10"/>
      <color rgb="FF4A235A"/>
      <name val="Arial"/>
      <family val="0"/>
      <charset val="1"/>
    </font>
    <font>
      <b val="true"/>
      <sz val="11"/>
      <color rgb="FF1B3A6B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0"/>
      <color rgb="FF1B3A6B"/>
      <name val="Arial"/>
      <family val="0"/>
      <charset val="1"/>
    </font>
    <font>
      <sz val="9"/>
      <color rgb="FF2C2C2C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1B3A6B"/>
        <bgColor rgb="FF0C5460"/>
      </patternFill>
    </fill>
    <fill>
      <patternFill patternType="solid">
        <fgColor rgb="FFC9A84C"/>
        <bgColor rgb="FFFF9900"/>
      </patternFill>
    </fill>
    <fill>
      <patternFill patternType="solid">
        <fgColor rgb="FFFFFFFF"/>
        <bgColor rgb="FFF2F4F7"/>
      </patternFill>
    </fill>
    <fill>
      <patternFill patternType="solid">
        <fgColor rgb="FFD6E4F0"/>
        <bgColor rgb="FFD1ECF1"/>
      </patternFill>
    </fill>
    <fill>
      <patternFill patternType="solid">
        <fgColor rgb="FFFFFACD"/>
        <bgColor rgb="FFFFF3CD"/>
      </patternFill>
    </fill>
    <fill>
      <patternFill patternType="solid">
        <fgColor rgb="FFF2F4F7"/>
        <bgColor rgb="FFFDECEA"/>
      </patternFill>
    </fill>
    <fill>
      <patternFill patternType="solid">
        <fgColor rgb="FF0C5460"/>
        <bgColor rgb="FF1B3A6B"/>
      </patternFill>
    </fill>
    <fill>
      <patternFill patternType="solid">
        <fgColor rgb="FFD1ECF1"/>
        <bgColor rgb="FFD6E4F0"/>
      </patternFill>
    </fill>
    <fill>
      <patternFill patternType="solid">
        <fgColor rgb="FFD4EDDA"/>
        <bgColor rgb="FFD1ECF1"/>
      </patternFill>
    </fill>
    <fill>
      <patternFill patternType="solid">
        <fgColor rgb="FFFFF3CD"/>
        <bgColor rgb="FFFFFACD"/>
      </patternFill>
    </fill>
    <fill>
      <patternFill patternType="solid">
        <fgColor rgb="FFFDECEA"/>
        <bgColor rgb="FFF2F4F7"/>
      </patternFill>
    </fill>
    <fill>
      <patternFill patternType="solid">
        <fgColor rgb="FFE8D5F5"/>
        <bgColor rgb="FFD6E4F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8" fillId="4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7" fillId="5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8" fillId="5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8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9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9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1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0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9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2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9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21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11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22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9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1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23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9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9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4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9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3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9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9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11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8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9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8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9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18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1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5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6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7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6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6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6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1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2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2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6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9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26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26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11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6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1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8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9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A6B3C"/>
      <rgbColor rgb="FF000080"/>
      <rgbColor rgb="FF856404"/>
      <rgbColor rgb="FF6B1B8B"/>
      <rgbColor rgb="FF0C5460"/>
      <rgbColor rgb="FFE8D5F5"/>
      <rgbColor rgb="FF808080"/>
      <rgbColor rgb="FF9999FF"/>
      <rgbColor rgb="FF993366"/>
      <rgbColor rgb="FFFFFACD"/>
      <rgbColor rgb="FFD1ECF1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D4EDDA"/>
      <rgbColor rgb="FFFFF3CD"/>
      <rgbColor rgb="FFF2F4F7"/>
      <rgbColor rgb="FFFF99CC"/>
      <rgbColor rgb="FFCC99FF"/>
      <rgbColor rgb="FFFDECEA"/>
      <rgbColor rgb="FF3366FF"/>
      <rgbColor rgb="FF33CCCC"/>
      <rgbColor rgb="FF99CC00"/>
      <rgbColor rgb="FFFFCC00"/>
      <rgbColor rgb="FFFF9900"/>
      <rgbColor rgb="FFFF6600"/>
      <rgbColor rgb="FF6B6B6B"/>
      <rgbColor rgb="FFC9A84C"/>
      <rgbColor rgb="FF1B3A6B"/>
      <rgbColor rgb="FF17A2B8"/>
      <rgbColor rgb="FF003300"/>
      <rgbColor rgb="FF333300"/>
      <rgbColor rgb="FF8B1A1A"/>
      <rgbColor rgb="FF993366"/>
      <rgbColor rgb="FF4A235A"/>
      <rgbColor rgb="FF2C2C2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6B"/>
    <pageSetUpPr fitToPage="false"/>
  </sheetPr>
  <dimension ref="B1:D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6"/>
    <col collapsed="false" customWidth="true" hidden="false" outlineLevel="0" max="3" min="3" style="0" width="52"/>
    <col collapsed="false" customWidth="true" hidden="false" outlineLevel="0" max="4" min="4" style="0" width="18"/>
    <col collapsed="false" customWidth="true" hidden="false" outlineLevel="0" max="5" min="5" style="0" width="4"/>
  </cols>
  <sheetData>
    <row r="1" customFormat="false" ht="30" hidden="false" customHeight="true" outlineLevel="0" collapsed="false">
      <c r="B1" s="1" t="s">
        <v>0</v>
      </c>
      <c r="C1" s="1"/>
      <c r="D1" s="1"/>
    </row>
    <row r="2" customFormat="false" ht="15" hidden="false" customHeight="false" outlineLevel="0" collapsed="false">
      <c r="B2" s="1"/>
      <c r="C2" s="1"/>
      <c r="D2" s="1"/>
    </row>
    <row r="3" customFormat="false" ht="9.75" hidden="false" customHeight="true" outlineLevel="0" collapsed="false">
      <c r="B3" s="1"/>
      <c r="C3" s="1"/>
      <c r="D3" s="1"/>
    </row>
    <row r="4" customFormat="false" ht="19.5" hidden="false" customHeight="true" outlineLevel="0" collapsed="false">
      <c r="B4" s="2" t="s">
        <v>1</v>
      </c>
      <c r="C4" s="2"/>
      <c r="D4" s="2"/>
    </row>
    <row r="5" customFormat="false" ht="3.75" hidden="false" customHeight="true" outlineLevel="0" collapsed="false">
      <c r="B5" s="3"/>
      <c r="C5" s="3"/>
      <c r="D5" s="3"/>
    </row>
    <row r="6" customFormat="false" ht="21.75" hidden="false" customHeight="true" outlineLevel="0" collapsed="false">
      <c r="B6" s="4" t="s">
        <v>2</v>
      </c>
      <c r="C6" s="4"/>
      <c r="D6" s="4"/>
    </row>
    <row r="7" customFormat="false" ht="30" hidden="false" customHeight="true" outlineLevel="0" collapsed="false">
      <c r="B7" s="5" t="s">
        <v>3</v>
      </c>
      <c r="C7" s="6" t="s">
        <v>4</v>
      </c>
    </row>
    <row r="8" customFormat="false" ht="30" hidden="false" customHeight="true" outlineLevel="0" collapsed="false">
      <c r="B8" s="7" t="s">
        <v>5</v>
      </c>
      <c r="C8" s="8" t="s">
        <v>6</v>
      </c>
    </row>
    <row r="9" customFormat="false" ht="30" hidden="false" customHeight="true" outlineLevel="0" collapsed="false">
      <c r="B9" s="5" t="s">
        <v>7</v>
      </c>
      <c r="C9" s="6" t="s">
        <v>8</v>
      </c>
    </row>
    <row r="10" customFormat="false" ht="30" hidden="false" customHeight="true" outlineLevel="0" collapsed="false">
      <c r="B10" s="7" t="s">
        <v>9</v>
      </c>
      <c r="C10" s="8" t="s">
        <v>10</v>
      </c>
    </row>
    <row r="11" customFormat="false" ht="30" hidden="false" customHeight="true" outlineLevel="0" collapsed="false">
      <c r="B11" s="5" t="s">
        <v>11</v>
      </c>
      <c r="C11" s="6" t="s">
        <v>12</v>
      </c>
    </row>
    <row r="13" customFormat="false" ht="21.75" hidden="false" customHeight="true" outlineLevel="0" collapsed="false">
      <c r="B13" s="4" t="s">
        <v>13</v>
      </c>
      <c r="C13" s="4"/>
      <c r="D13" s="4"/>
    </row>
    <row r="14" customFormat="false" ht="18" hidden="false" customHeight="true" outlineLevel="0" collapsed="false">
      <c r="B14" s="9" t="s">
        <v>14</v>
      </c>
      <c r="C14" s="10" t="s">
        <v>15</v>
      </c>
    </row>
    <row r="15" customFormat="false" ht="18" hidden="false" customHeight="true" outlineLevel="0" collapsed="false">
      <c r="B15" s="11" t="s">
        <v>16</v>
      </c>
      <c r="C15" s="10" t="s">
        <v>17</v>
      </c>
    </row>
    <row r="16" customFormat="false" ht="18" hidden="false" customHeight="true" outlineLevel="0" collapsed="false">
      <c r="B16" s="12" t="s">
        <v>18</v>
      </c>
      <c r="C16" s="10" t="s">
        <v>19</v>
      </c>
    </row>
    <row r="17" customFormat="false" ht="18" hidden="false" customHeight="true" outlineLevel="0" collapsed="false">
      <c r="B17" s="13" t="s">
        <v>20</v>
      </c>
      <c r="C17" s="10" t="s">
        <v>21</v>
      </c>
    </row>
    <row r="18" customFormat="false" ht="18" hidden="false" customHeight="true" outlineLevel="0" collapsed="false">
      <c r="B18" s="14" t="s">
        <v>22</v>
      </c>
      <c r="C18" s="10" t="s">
        <v>23</v>
      </c>
    </row>
    <row r="20" customFormat="false" ht="15" hidden="false" customHeight="false" outlineLevel="0" collapsed="false">
      <c r="B20" s="15" t="s">
        <v>24</v>
      </c>
      <c r="C20" s="15"/>
      <c r="D20" s="15"/>
    </row>
  </sheetData>
  <mergeCells count="6">
    <mergeCell ref="B1:D3"/>
    <mergeCell ref="B4:D4"/>
    <mergeCell ref="B5:D5"/>
    <mergeCell ref="B6:D6"/>
    <mergeCell ref="B13:D13"/>
    <mergeCell ref="B20:D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9A84C"/>
    <pageSetUpPr fitToPage="false"/>
  </sheetPr>
  <dimension ref="B1:F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2"/>
    <col collapsed="false" customWidth="true" hidden="false" outlineLevel="0" max="4" min="3" style="0" width="16"/>
    <col collapsed="false" customWidth="true" hidden="false" outlineLevel="0" max="5" min="5" style="0" width="28"/>
  </cols>
  <sheetData>
    <row r="1" customFormat="false" ht="27.75" hidden="false" customHeight="true" outlineLevel="0" collapsed="false">
      <c r="B1" s="16" t="s">
        <v>25</v>
      </c>
      <c r="C1" s="16"/>
      <c r="D1" s="16"/>
      <c r="E1" s="16"/>
    </row>
    <row r="2" customFormat="false" ht="6" hidden="false" customHeight="true" outlineLevel="0" collapsed="false">
      <c r="B2" s="16"/>
      <c r="C2" s="16"/>
      <c r="D2" s="16"/>
      <c r="E2" s="16"/>
    </row>
    <row r="3" customFormat="false" ht="21.75" hidden="false" customHeight="true" outlineLevel="0" collapsed="false">
      <c r="B3" s="17" t="s">
        <v>26</v>
      </c>
      <c r="C3" s="17"/>
      <c r="D3" s="17"/>
      <c r="E3" s="17"/>
    </row>
    <row r="4" customFormat="false" ht="18" hidden="false" customHeight="true" outlineLevel="0" collapsed="false">
      <c r="B4" s="18" t="s">
        <v>27</v>
      </c>
      <c r="C4" s="19" t="n">
        <v>5000000</v>
      </c>
      <c r="D4" s="20" t="s">
        <v>28</v>
      </c>
    </row>
    <row r="5" customFormat="false" ht="18" hidden="false" customHeight="true" outlineLevel="0" collapsed="false">
      <c r="B5" s="18" t="s">
        <v>29</v>
      </c>
      <c r="C5" s="21" t="s">
        <v>30</v>
      </c>
      <c r="D5" s="20" t="s">
        <v>31</v>
      </c>
    </row>
    <row r="6" customFormat="false" ht="18" hidden="false" customHeight="true" outlineLevel="0" collapsed="false">
      <c r="B6" s="18" t="s">
        <v>32</v>
      </c>
      <c r="C6" s="22" t="n">
        <v>12</v>
      </c>
      <c r="D6" s="20" t="s">
        <v>33</v>
      </c>
    </row>
    <row r="7" customFormat="false" ht="7.5" hidden="false" customHeight="true" outlineLevel="0" collapsed="false"/>
    <row r="8" customFormat="false" ht="21.75" hidden="false" customHeight="true" outlineLevel="0" collapsed="false">
      <c r="B8" s="17" t="s">
        <v>34</v>
      </c>
      <c r="C8" s="17"/>
      <c r="D8" s="17"/>
      <c r="E8" s="17"/>
    </row>
    <row r="9" customFormat="false" ht="18" hidden="false" customHeight="true" outlineLevel="0" collapsed="false">
      <c r="B9" s="18" t="s">
        <v>35</v>
      </c>
      <c r="C9" s="19" t="n">
        <v>120000</v>
      </c>
    </row>
    <row r="10" customFormat="false" ht="18" hidden="false" customHeight="true" outlineLevel="0" collapsed="false">
      <c r="B10" s="18" t="s">
        <v>36</v>
      </c>
      <c r="C10" s="19" t="n">
        <v>35000</v>
      </c>
    </row>
    <row r="11" customFormat="false" ht="18" hidden="false" customHeight="true" outlineLevel="0" collapsed="false">
      <c r="B11" s="18" t="s">
        <v>37</v>
      </c>
      <c r="C11" s="19" t="n">
        <v>8000</v>
      </c>
    </row>
    <row r="12" customFormat="false" ht="18" hidden="false" customHeight="true" outlineLevel="0" collapsed="false">
      <c r="B12" s="18" t="s">
        <v>38</v>
      </c>
      <c r="C12" s="19" t="n">
        <v>22000</v>
      </c>
    </row>
    <row r="13" customFormat="false" ht="7.5" hidden="false" customHeight="true" outlineLevel="0" collapsed="false"/>
    <row r="14" customFormat="false" ht="21.75" hidden="false" customHeight="true" outlineLevel="0" collapsed="false">
      <c r="B14" s="17" t="s">
        <v>39</v>
      </c>
      <c r="C14" s="17"/>
      <c r="D14" s="17"/>
      <c r="E14" s="17"/>
    </row>
    <row r="15" customFormat="false" ht="18" hidden="false" customHeight="true" outlineLevel="0" collapsed="false">
      <c r="B15" s="23" t="s">
        <v>40</v>
      </c>
      <c r="C15" s="23" t="s">
        <v>41</v>
      </c>
      <c r="D15" s="23" t="s">
        <v>42</v>
      </c>
      <c r="E15" s="23" t="s">
        <v>43</v>
      </c>
      <c r="F15" s="23" t="s">
        <v>44</v>
      </c>
    </row>
    <row r="16" customFormat="false" ht="18" hidden="false" customHeight="true" outlineLevel="0" collapsed="false">
      <c r="B16" s="24" t="s">
        <v>45</v>
      </c>
      <c r="C16" s="25" t="n">
        <v>0.25</v>
      </c>
      <c r="D16" s="25" t="n">
        <v>0.2</v>
      </c>
      <c r="E16" s="25" t="n">
        <v>0.15</v>
      </c>
      <c r="F16" s="25" t="n">
        <v>0.18</v>
      </c>
    </row>
    <row r="17" customFormat="false" ht="18" hidden="false" customHeight="true" outlineLevel="0" collapsed="false">
      <c r="B17" s="24" t="s">
        <v>46</v>
      </c>
      <c r="C17" s="25" t="n">
        <v>0.6</v>
      </c>
      <c r="D17" s="25" t="n">
        <v>0.5</v>
      </c>
      <c r="E17" s="25" t="n">
        <v>0.4</v>
      </c>
      <c r="F17" s="25" t="n">
        <v>0.45</v>
      </c>
    </row>
    <row r="18" customFormat="false" ht="18" hidden="false" customHeight="true" outlineLevel="0" collapsed="false">
      <c r="B18" s="24" t="s">
        <v>47</v>
      </c>
      <c r="C18" s="25" t="n">
        <v>0.55</v>
      </c>
      <c r="D18" s="25" t="n">
        <v>0.45</v>
      </c>
      <c r="E18" s="25" t="n">
        <v>0.35</v>
      </c>
      <c r="F18" s="25" t="n">
        <v>0.4</v>
      </c>
    </row>
    <row r="19" customFormat="false" ht="18" hidden="false" customHeight="true" outlineLevel="0" collapsed="false">
      <c r="B19" s="24" t="s">
        <v>48</v>
      </c>
      <c r="C19" s="25" t="n">
        <v>0.7</v>
      </c>
      <c r="D19" s="25" t="n">
        <v>0.65</v>
      </c>
      <c r="E19" s="25" t="n">
        <v>0.6</v>
      </c>
      <c r="F19" s="25" t="n">
        <v>0.62</v>
      </c>
    </row>
    <row r="20" customFormat="false" ht="18" hidden="false" customHeight="true" outlineLevel="0" collapsed="false">
      <c r="B20" s="24" t="s">
        <v>49</v>
      </c>
      <c r="C20" s="25" t="n">
        <v>0.35</v>
      </c>
      <c r="D20" s="25" t="n">
        <v>0.28</v>
      </c>
      <c r="E20" s="25" t="n">
        <v>0.2</v>
      </c>
      <c r="F20" s="25" t="n">
        <v>0.25</v>
      </c>
    </row>
    <row r="21" customFormat="false" ht="7.5" hidden="false" customHeight="true" outlineLevel="0" collapsed="false"/>
    <row r="22" customFormat="false" ht="21.75" hidden="false" customHeight="true" outlineLevel="0" collapsed="false">
      <c r="B22" s="17" t="s">
        <v>50</v>
      </c>
      <c r="C22" s="17"/>
      <c r="D22" s="17"/>
      <c r="E22" s="17"/>
    </row>
    <row r="23" customFormat="false" ht="18" hidden="false" customHeight="true" outlineLevel="0" collapsed="false">
      <c r="B23" s="18" t="s">
        <v>51</v>
      </c>
      <c r="C23" s="26" t="n">
        <v>0.25</v>
      </c>
      <c r="D23" s="20" t="s">
        <v>52</v>
      </c>
    </row>
    <row r="24" customFormat="false" ht="18" hidden="false" customHeight="true" outlineLevel="0" collapsed="false">
      <c r="B24" s="18" t="s">
        <v>53</v>
      </c>
      <c r="C24" s="26" t="n">
        <v>0.55</v>
      </c>
      <c r="D24" s="20" t="s">
        <v>52</v>
      </c>
    </row>
    <row r="25" customFormat="false" ht="18" hidden="false" customHeight="true" outlineLevel="0" collapsed="false">
      <c r="B25" s="18" t="s">
        <v>54</v>
      </c>
      <c r="C25" s="26" t="n">
        <v>0.5</v>
      </c>
      <c r="D25" s="20" t="s">
        <v>52</v>
      </c>
    </row>
    <row r="26" customFormat="false" ht="18" hidden="false" customHeight="true" outlineLevel="0" collapsed="false">
      <c r="B26" s="18" t="s">
        <v>55</v>
      </c>
      <c r="C26" s="26" t="n">
        <v>0.65</v>
      </c>
      <c r="D26" s="20" t="s">
        <v>52</v>
      </c>
    </row>
    <row r="27" customFormat="false" ht="18" hidden="false" customHeight="true" outlineLevel="0" collapsed="false">
      <c r="B27" s="18" t="s">
        <v>56</v>
      </c>
      <c r="C27" s="26" t="n">
        <v>0.3</v>
      </c>
      <c r="D27" s="20" t="s">
        <v>52</v>
      </c>
    </row>
    <row r="28" customFormat="false" ht="7.5" hidden="false" customHeight="true" outlineLevel="0" collapsed="false"/>
    <row r="29" customFormat="false" ht="21.75" hidden="false" customHeight="true" outlineLevel="0" collapsed="false">
      <c r="B29" s="17" t="s">
        <v>57</v>
      </c>
      <c r="C29" s="17"/>
      <c r="D29" s="17"/>
      <c r="E29" s="17"/>
    </row>
    <row r="30" customFormat="false" ht="18" hidden="false" customHeight="true" outlineLevel="0" collapsed="false">
      <c r="B30" s="23" t="s">
        <v>58</v>
      </c>
      <c r="C30" s="23" t="s">
        <v>41</v>
      </c>
      <c r="D30" s="23" t="s">
        <v>42</v>
      </c>
      <c r="E30" s="23" t="s">
        <v>43</v>
      </c>
      <c r="F30" s="23" t="s">
        <v>44</v>
      </c>
    </row>
    <row r="31" customFormat="false" ht="18" hidden="false" customHeight="true" outlineLevel="0" collapsed="false">
      <c r="B31" s="24" t="s">
        <v>59</v>
      </c>
      <c r="C31" s="27" t="n">
        <v>14</v>
      </c>
      <c r="D31" s="27" t="n">
        <v>10</v>
      </c>
      <c r="E31" s="27" t="n">
        <v>7</v>
      </c>
      <c r="F31" s="27" t="n">
        <v>9</v>
      </c>
    </row>
    <row r="32" customFormat="false" ht="18" hidden="false" customHeight="true" outlineLevel="0" collapsed="false">
      <c r="B32" s="24" t="s">
        <v>60</v>
      </c>
      <c r="C32" s="27" t="n">
        <v>10</v>
      </c>
      <c r="D32" s="27" t="n">
        <v>7</v>
      </c>
      <c r="E32" s="27" t="n">
        <v>5</v>
      </c>
      <c r="F32" s="27" t="n">
        <v>6</v>
      </c>
    </row>
    <row r="33" customFormat="false" ht="18" hidden="false" customHeight="true" outlineLevel="0" collapsed="false">
      <c r="B33" s="24" t="s">
        <v>61</v>
      </c>
      <c r="C33" s="27" t="n">
        <v>21</v>
      </c>
      <c r="D33" s="27" t="n">
        <v>14</v>
      </c>
      <c r="E33" s="27" t="n">
        <v>7</v>
      </c>
      <c r="F33" s="27" t="n">
        <v>10</v>
      </c>
    </row>
    <row r="34" customFormat="false" ht="18" hidden="false" customHeight="true" outlineLevel="0" collapsed="false">
      <c r="B34" s="24" t="s">
        <v>62</v>
      </c>
      <c r="C34" s="27" t="n">
        <v>30</v>
      </c>
      <c r="D34" s="27" t="n">
        <v>21</v>
      </c>
      <c r="E34" s="27" t="n">
        <v>14</v>
      </c>
      <c r="F34" s="27" t="n">
        <v>18</v>
      </c>
    </row>
    <row r="35" customFormat="false" ht="18" hidden="false" customHeight="true" outlineLevel="0" collapsed="false">
      <c r="B35" s="24" t="s">
        <v>63</v>
      </c>
      <c r="C35" s="27" t="n">
        <v>45</v>
      </c>
      <c r="D35" s="27" t="n">
        <v>30</v>
      </c>
      <c r="E35" s="27" t="n">
        <v>21</v>
      </c>
      <c r="F35" s="27" t="n">
        <v>28</v>
      </c>
    </row>
    <row r="36" customFormat="false" ht="7.5" hidden="false" customHeight="true" outlineLevel="0" collapsed="false"/>
    <row r="37" customFormat="false" ht="21.75" hidden="false" customHeight="true" outlineLevel="0" collapsed="false">
      <c r="B37" s="17" t="s">
        <v>64</v>
      </c>
      <c r="C37" s="17"/>
      <c r="D37" s="17"/>
      <c r="E37" s="17"/>
    </row>
    <row r="38" customFormat="false" ht="18" hidden="false" customHeight="true" outlineLevel="0" collapsed="false">
      <c r="B38" s="18" t="s">
        <v>65</v>
      </c>
      <c r="C38" s="25" t="n">
        <v>0.4</v>
      </c>
    </row>
    <row r="39" customFormat="false" ht="18" hidden="false" customHeight="true" outlineLevel="0" collapsed="false">
      <c r="B39" s="18" t="s">
        <v>66</v>
      </c>
      <c r="C39" s="25" t="n">
        <v>0.35</v>
      </c>
    </row>
    <row r="40" customFormat="false" ht="18" hidden="false" customHeight="true" outlineLevel="0" collapsed="false">
      <c r="B40" s="18" t="s">
        <v>67</v>
      </c>
      <c r="C40" s="25" t="n">
        <v>0.15</v>
      </c>
    </row>
    <row r="41" customFormat="false" ht="18" hidden="false" customHeight="true" outlineLevel="0" collapsed="false">
      <c r="B41" s="18" t="s">
        <v>68</v>
      </c>
      <c r="C41" s="25" t="n">
        <v>0.1</v>
      </c>
    </row>
    <row r="42" customFormat="false" ht="7.5" hidden="false" customHeight="true" outlineLevel="0" collapsed="false"/>
    <row r="43" customFormat="false" ht="18" hidden="false" customHeight="true" outlineLevel="0" collapsed="false">
      <c r="B43" s="28" t="s">
        <v>69</v>
      </c>
      <c r="C43" s="29" t="n">
        <f aca="false">C38+C39+C40+C41</f>
        <v>1</v>
      </c>
    </row>
    <row r="44" customFormat="false" ht="15" hidden="false" customHeight="false" outlineLevel="0" collapsed="false">
      <c r="B44" s="30" t="s">
        <v>70</v>
      </c>
      <c r="C44" s="30"/>
      <c r="D44" s="30"/>
      <c r="E44" s="30"/>
    </row>
  </sheetData>
  <mergeCells count="8">
    <mergeCell ref="B1:E2"/>
    <mergeCell ref="B3:E3"/>
    <mergeCell ref="B8:E8"/>
    <mergeCell ref="B14:E14"/>
    <mergeCell ref="B22:E22"/>
    <mergeCell ref="B29:E29"/>
    <mergeCell ref="B37:E37"/>
    <mergeCell ref="B44:E4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6B3C"/>
    <pageSetUpPr fitToPage="false"/>
  </sheetPr>
  <dimension ref="B1:I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7" min="3" style="0" width="14"/>
    <col collapsed="false" customWidth="true" hidden="false" outlineLevel="0" max="9" min="8" style="0" width="16"/>
  </cols>
  <sheetData>
    <row r="1" customFormat="false" ht="27.75" hidden="false" customHeight="true" outlineLevel="0" collapsed="false">
      <c r="B1" s="16" t="s">
        <v>71</v>
      </c>
      <c r="C1" s="16"/>
      <c r="D1" s="16"/>
      <c r="E1" s="16"/>
      <c r="F1" s="16"/>
      <c r="G1" s="16"/>
      <c r="H1" s="16"/>
      <c r="I1" s="16"/>
    </row>
    <row r="2" customFormat="false" ht="6" hidden="false" customHeight="true" outlineLevel="0" collapsed="false">
      <c r="B2" s="16"/>
      <c r="C2" s="16"/>
      <c r="D2" s="16"/>
      <c r="E2" s="16"/>
      <c r="F2" s="16"/>
      <c r="G2" s="16"/>
      <c r="H2" s="16"/>
      <c r="I2" s="16"/>
    </row>
    <row r="3" customFormat="false" ht="21.75" hidden="false" customHeight="true" outlineLevel="0" collapsed="false">
      <c r="B3" s="17" t="s">
        <v>72</v>
      </c>
      <c r="C3" s="17"/>
      <c r="D3" s="17"/>
      <c r="E3" s="17"/>
      <c r="F3" s="17"/>
      <c r="G3" s="17"/>
      <c r="H3" s="17"/>
      <c r="I3" s="17"/>
    </row>
    <row r="4" customFormat="false" ht="21.75" hidden="false" customHeight="true" outlineLevel="0" collapsed="false">
      <c r="B4" s="23" t="s">
        <v>73</v>
      </c>
      <c r="C4" s="23" t="s">
        <v>41</v>
      </c>
      <c r="D4" s="23" t="s">
        <v>42</v>
      </c>
      <c r="E4" s="23" t="s">
        <v>43</v>
      </c>
      <c r="F4" s="23" t="s">
        <v>74</v>
      </c>
      <c r="G4" s="23" t="s">
        <v>75</v>
      </c>
      <c r="H4" s="23" t="s">
        <v>76</v>
      </c>
      <c r="I4" s="23" t="s">
        <v>77</v>
      </c>
    </row>
    <row r="5" customFormat="false" ht="19.5" hidden="false" customHeight="true" outlineLevel="0" collapsed="false">
      <c r="B5" s="31" t="s">
        <v>78</v>
      </c>
      <c r="C5" s="31"/>
      <c r="D5" s="31"/>
      <c r="E5" s="31"/>
      <c r="F5" s="31"/>
      <c r="G5" s="31"/>
      <c r="H5" s="31"/>
      <c r="I5" s="31"/>
    </row>
    <row r="6" customFormat="false" ht="18" hidden="false" customHeight="true" outlineLevel="0" collapsed="false">
      <c r="B6" s="32" t="s">
        <v>79</v>
      </c>
      <c r="C6" s="33" t="n">
        <f aca="false">'⚙️ Assumptions'!C4*'⚙️ Assumptions'!C38</f>
        <v>2000000</v>
      </c>
      <c r="D6" s="33" t="n">
        <f aca="false">'⚙️ Assumptions'!C4*'⚙️ Assumptions'!C39</f>
        <v>1750000</v>
      </c>
      <c r="E6" s="33" t="n">
        <f aca="false">'⚙️ Assumptions'!C4*'⚙️ Assumptions'!C40</f>
        <v>750000</v>
      </c>
      <c r="F6" s="33" t="n">
        <f aca="false">'⚙️ Assumptions'!C4*'⚙️ Assumptions'!C41</f>
        <v>500000</v>
      </c>
      <c r="G6" s="34" t="n">
        <f aca="false">'⚙️ Assumptions'!C4</f>
        <v>5000000</v>
      </c>
    </row>
    <row r="7" customFormat="false" ht="18" hidden="false" customHeight="true" outlineLevel="0" collapsed="false">
      <c r="B7" s="32" t="s">
        <v>80</v>
      </c>
      <c r="C7" s="35" t="n">
        <f aca="false">IF('⚙️ Assumptions'!C9=0,0,C6/'⚙️ Assumptions'!C9)</f>
        <v>16.6666666666667</v>
      </c>
      <c r="D7" s="35" t="n">
        <f aca="false">IF('⚙️ Assumptions'!C10=0,0,D6/'⚙️ Assumptions'!C10)</f>
        <v>50</v>
      </c>
      <c r="E7" s="35" t="n">
        <f aca="false">IF('⚙️ Assumptions'!C11=0,0,E6/'⚙️ Assumptions'!C11)</f>
        <v>93.75</v>
      </c>
      <c r="F7" s="35" t="n">
        <f aca="false">IF('⚙️ Assumptions'!C12=0,0,F6/'⚙️ Assumptions'!C12)</f>
        <v>22.7272727272727</v>
      </c>
      <c r="G7" s="36" t="n">
        <f aca="false">IFERROR(C7+D7+E7+F7,0)</f>
        <v>183.143939393939</v>
      </c>
    </row>
    <row r="8" customFormat="false" ht="7.5" hidden="false" customHeight="true" outlineLevel="0" collapsed="false"/>
    <row r="9" customFormat="false" ht="19.5" hidden="false" customHeight="true" outlineLevel="0" collapsed="false">
      <c r="B9" s="37" t="s">
        <v>81</v>
      </c>
      <c r="C9" s="37"/>
      <c r="D9" s="37"/>
      <c r="E9" s="37"/>
      <c r="F9" s="37"/>
      <c r="G9" s="37"/>
      <c r="H9" s="37"/>
      <c r="I9" s="37"/>
    </row>
    <row r="10" customFormat="false" ht="18" hidden="false" customHeight="true" outlineLevel="0" collapsed="false">
      <c r="B10" s="38" t="s">
        <v>82</v>
      </c>
      <c r="C10" s="39" t="n">
        <f aca="false">C7</f>
        <v>16.6666666666667</v>
      </c>
      <c r="D10" s="39" t="n">
        <f aca="false">D7</f>
        <v>50</v>
      </c>
      <c r="E10" s="39" t="n">
        <f aca="false">E7</f>
        <v>93.75</v>
      </c>
      <c r="F10" s="39" t="n">
        <f aca="false">F7</f>
        <v>22.7272727272727</v>
      </c>
      <c r="G10" s="40" t="n">
        <f aca="false">SUM(C10:F10)</f>
        <v>183.143939393939</v>
      </c>
    </row>
    <row r="11" customFormat="false" ht="18" hidden="false" customHeight="true" outlineLevel="0" collapsed="false">
      <c r="B11" s="41" t="s">
        <v>83</v>
      </c>
      <c r="C11" s="42" t="n">
        <f aca="false">IFERROR(C10/'⚙️ Assumptions'!C20,0)</f>
        <v>47.6190476190476</v>
      </c>
      <c r="D11" s="42" t="n">
        <f aca="false">IFERROR(D10/'⚙️ Assumptions'!D20,0)</f>
        <v>178.571428571429</v>
      </c>
      <c r="E11" s="42" t="n">
        <f aca="false">IFERROR(E10/'⚙️ Assumptions'!E20,0)</f>
        <v>468.75</v>
      </c>
      <c r="F11" s="42" t="n">
        <f aca="false">IFERROR(F10/'⚙️ Assumptions'!F20,0)</f>
        <v>90.9090909090909</v>
      </c>
      <c r="G11" s="43" t="n">
        <f aca="false">SUM(C11:F11)</f>
        <v>785.849567099567</v>
      </c>
    </row>
    <row r="12" customFormat="false" ht="18" hidden="false" customHeight="true" outlineLevel="0" collapsed="false">
      <c r="B12" s="44" t="s">
        <v>84</v>
      </c>
      <c r="C12" s="45" t="n">
        <f aca="false">IFERROR(C11/'⚙️ Assumptions'!C19,0)</f>
        <v>68.0272108843538</v>
      </c>
      <c r="D12" s="45" t="n">
        <f aca="false">IFERROR(D11/'⚙️ Assumptions'!D19,0)</f>
        <v>274.725274725275</v>
      </c>
      <c r="E12" s="45" t="n">
        <f aca="false">IFERROR(E11/'⚙️ Assumptions'!E19,0)</f>
        <v>781.25</v>
      </c>
      <c r="F12" s="45" t="n">
        <f aca="false">IFERROR(F11/'⚙️ Assumptions'!F19,0)</f>
        <v>146.627565982405</v>
      </c>
      <c r="G12" s="36" t="n">
        <f aca="false">SUM(C12:F12)</f>
        <v>1270.63005159203</v>
      </c>
    </row>
    <row r="13" customFormat="false" ht="18" hidden="false" customHeight="true" outlineLevel="0" collapsed="false">
      <c r="B13" s="46" t="s">
        <v>85</v>
      </c>
      <c r="C13" s="47" t="n">
        <f aca="false">IFERROR(C12/'⚙️ Assumptions'!C18,0)</f>
        <v>123.685837971552</v>
      </c>
      <c r="D13" s="47" t="n">
        <f aca="false">IFERROR(D12/'⚙️ Assumptions'!D18,0)</f>
        <v>610.50061050061</v>
      </c>
      <c r="E13" s="47" t="n">
        <f aca="false">IFERROR(E12/'⚙️ Assumptions'!E18,0)</f>
        <v>2232.14285714286</v>
      </c>
      <c r="F13" s="47" t="n">
        <f aca="false">IFERROR(F12/'⚙️ Assumptions'!F18,0)</f>
        <v>366.568914956012</v>
      </c>
      <c r="G13" s="48" t="n">
        <f aca="false">SUM(C13:F13)</f>
        <v>3332.89822057103</v>
      </c>
    </row>
    <row r="14" customFormat="false" ht="18" hidden="false" customHeight="true" outlineLevel="0" collapsed="false">
      <c r="B14" s="49" t="s">
        <v>86</v>
      </c>
      <c r="C14" s="50" t="n">
        <f aca="false">IFERROR(C13/'⚙️ Assumptions'!C17,0)</f>
        <v>206.14306328592</v>
      </c>
      <c r="D14" s="50" t="n">
        <f aca="false">IFERROR(D13/'⚙️ Assumptions'!D17,0)</f>
        <v>1221.00122100122</v>
      </c>
      <c r="E14" s="50" t="n">
        <f aca="false">IFERROR(E13/'⚙️ Assumptions'!E17,0)</f>
        <v>5580.35714285714</v>
      </c>
      <c r="F14" s="50" t="n">
        <f aca="false">IFERROR(F13/'⚙️ Assumptions'!F17,0)</f>
        <v>814.597588791137</v>
      </c>
      <c r="G14" s="51" t="n">
        <f aca="false">SUM(C14:F14)</f>
        <v>7822.09901593542</v>
      </c>
    </row>
    <row r="15" customFormat="false" ht="18" hidden="false" customHeight="true" outlineLevel="0" collapsed="false">
      <c r="B15" s="49" t="s">
        <v>87</v>
      </c>
      <c r="C15" s="50" t="n">
        <f aca="false">IFERROR(C14/'⚙️ Assumptions'!C16,0)</f>
        <v>824.572253143682</v>
      </c>
      <c r="D15" s="50" t="n">
        <f aca="false">IFERROR(D14/'⚙️ Assumptions'!D16,0)</f>
        <v>6105.0061050061</v>
      </c>
      <c r="E15" s="50" t="n">
        <f aca="false">IFERROR(E14/'⚙️ Assumptions'!E16,0)</f>
        <v>37202.380952381</v>
      </c>
      <c r="F15" s="50" t="n">
        <f aca="false">IFERROR(F14/'⚙️ Assumptions'!F16,0)</f>
        <v>4525.54215995076</v>
      </c>
      <c r="G15" s="51" t="n">
        <f aca="false">SUM(C15:F15)</f>
        <v>48657.5014704815</v>
      </c>
    </row>
    <row r="16" customFormat="false" ht="7.5" hidden="false" customHeight="true" outlineLevel="0" collapsed="false"/>
    <row r="17" customFormat="false" ht="19.5" hidden="false" customHeight="true" outlineLevel="0" collapsed="false">
      <c r="B17" s="37" t="s">
        <v>88</v>
      </c>
      <c r="C17" s="37"/>
      <c r="D17" s="37"/>
      <c r="E17" s="37"/>
      <c r="F17" s="37"/>
      <c r="G17" s="37"/>
      <c r="H17" s="37"/>
      <c r="I17" s="37"/>
    </row>
    <row r="18" customFormat="false" ht="18" hidden="false" customHeight="true" outlineLevel="0" collapsed="false">
      <c r="B18" s="52" t="s">
        <v>89</v>
      </c>
      <c r="C18" s="53" t="n">
        <f aca="false">'⚙️ Assumptions'!C16*'⚙️ Assumptions'!C17*'⚙️ Assumptions'!C18*'⚙️ Assumptions'!C19*'⚙️ Assumptions'!C20</f>
        <v>0.0202125</v>
      </c>
      <c r="D18" s="53" t="n">
        <f aca="false">'⚙️ Assumptions'!D16*'⚙️ Assumptions'!D17*'⚙️ Assumptions'!D18*'⚙️ Assumptions'!D19*'⚙️ Assumptions'!D20</f>
        <v>0.00819</v>
      </c>
      <c r="E18" s="53" t="n">
        <f aca="false">'⚙️ Assumptions'!E16*'⚙️ Assumptions'!E17*'⚙️ Assumptions'!E18*'⚙️ Assumptions'!E19*'⚙️ Assumptions'!E20</f>
        <v>0.00252</v>
      </c>
      <c r="F18" s="53" t="n">
        <f aca="false">'⚙️ Assumptions'!F16*'⚙️ Assumptions'!F17*'⚙️ Assumptions'!F18*'⚙️ Assumptions'!F19*'⚙️ Assumptions'!F20</f>
        <v>0.005022</v>
      </c>
      <c r="G18" s="54" t="n">
        <f aca="false">'⚙️ Assumptions'!C38*C18+'⚙️ Assumptions'!C39*D18+'⚙️ Assumptions'!C40*E18+'⚙️ Assumptions'!C41*F18</f>
        <v>0.0118317</v>
      </c>
      <c r="H18" s="55" t="n">
        <f aca="false">'⚙️ Assumptions'!C23*'⚙️ Assumptions'!C24*'⚙️ Assumptions'!C25*'⚙️ Assumptions'!C26*'⚙️ Assumptions'!C27</f>
        <v>0.01340625</v>
      </c>
    </row>
    <row r="19" customFormat="false" ht="18" hidden="false" customHeight="true" outlineLevel="0" collapsed="false">
      <c r="B19" s="52" t="s">
        <v>90</v>
      </c>
      <c r="C19" s="53" t="n">
        <f aca="false">'⚙️ Assumptions'!C17*'⚙️ Assumptions'!C18*'⚙️ Assumptions'!C19*'⚙️ Assumptions'!C20</f>
        <v>0.08085</v>
      </c>
      <c r="D19" s="53" t="n">
        <f aca="false">'⚙️ Assumptions'!D17*'⚙️ Assumptions'!D18*'⚙️ Assumptions'!D19*'⚙️ Assumptions'!D20</f>
        <v>0.04095</v>
      </c>
      <c r="E19" s="53" t="n">
        <f aca="false">'⚙️ Assumptions'!E17*'⚙️ Assumptions'!E18*'⚙️ Assumptions'!E19*'⚙️ Assumptions'!E20</f>
        <v>0.0168</v>
      </c>
      <c r="F19" s="53" t="n">
        <f aca="false">'⚙️ Assumptions'!F17*'⚙️ Assumptions'!F18*'⚙️ Assumptions'!F19*'⚙️ Assumptions'!F20</f>
        <v>0.0279</v>
      </c>
      <c r="G19" s="54" t="n">
        <f aca="false">'⚙️ Assumptions'!C38*C19+'⚙️ Assumptions'!C39*D19+'⚙️ Assumptions'!C40*E19+'⚙️ Assumptions'!C41*F19</f>
        <v>0.0519825</v>
      </c>
      <c r="H19" s="55" t="s">
        <v>91</v>
      </c>
    </row>
    <row r="20" customFormat="false" ht="18" hidden="false" customHeight="true" outlineLevel="0" collapsed="false">
      <c r="B20" s="52" t="s">
        <v>92</v>
      </c>
      <c r="C20" s="53" t="n">
        <f aca="false">'⚙️ Assumptions'!C18*'⚙️ Assumptions'!C19*'⚙️ Assumptions'!C20</f>
        <v>0.13475</v>
      </c>
      <c r="D20" s="53" t="n">
        <f aca="false">'⚙️ Assumptions'!D18*'⚙️ Assumptions'!D19*'⚙️ Assumptions'!D20</f>
        <v>0.0819</v>
      </c>
      <c r="E20" s="53" t="n">
        <f aca="false">'⚙️ Assumptions'!E18*'⚙️ Assumptions'!E19*'⚙️ Assumptions'!E20</f>
        <v>0.042</v>
      </c>
      <c r="F20" s="53" t="n">
        <f aca="false">'⚙️ Assumptions'!F18*'⚙️ Assumptions'!F19*'⚙️ Assumptions'!F20</f>
        <v>0.062</v>
      </c>
      <c r="G20" s="54" t="n">
        <f aca="false">'⚙️ Assumptions'!C38*C20+'⚙️ Assumptions'!C39*D20+'⚙️ Assumptions'!C40*E20+'⚙️ Assumptions'!C41*F20</f>
        <v>0.095065</v>
      </c>
      <c r="H20" s="55" t="s">
        <v>91</v>
      </c>
    </row>
    <row r="21" customFormat="false" ht="18" hidden="false" customHeight="true" outlineLevel="0" collapsed="false">
      <c r="B21" s="52" t="s">
        <v>93</v>
      </c>
      <c r="C21" s="53" t="n">
        <f aca="false">'⚙️ Assumptions'!C19*'⚙️ Assumptions'!C20</f>
        <v>0.245</v>
      </c>
      <c r="D21" s="53" t="n">
        <f aca="false">'⚙️ Assumptions'!D19*'⚙️ Assumptions'!D20</f>
        <v>0.182</v>
      </c>
      <c r="E21" s="53" t="n">
        <f aca="false">'⚙️ Assumptions'!E19*'⚙️ Assumptions'!E20</f>
        <v>0.12</v>
      </c>
      <c r="F21" s="53" t="n">
        <f aca="false">'⚙️ Assumptions'!F19*'⚙️ Assumptions'!F20</f>
        <v>0.155</v>
      </c>
      <c r="G21" s="54" t="n">
        <f aca="false">'⚙️ Assumptions'!C38*C21+'⚙️ Assumptions'!C39*D21+'⚙️ Assumptions'!C40*E21+'⚙️ Assumptions'!C41*F21</f>
        <v>0.1952</v>
      </c>
      <c r="H21" s="55" t="s">
        <v>91</v>
      </c>
    </row>
    <row r="22" customFormat="false" ht="18" hidden="false" customHeight="true" outlineLevel="0" collapsed="false">
      <c r="B22" s="52" t="s">
        <v>94</v>
      </c>
      <c r="C22" s="53" t="n">
        <f aca="false">'⚙️ Assumptions'!C20</f>
        <v>0.35</v>
      </c>
      <c r="D22" s="53" t="n">
        <f aca="false">'⚙️ Assumptions'!D20</f>
        <v>0.28</v>
      </c>
      <c r="E22" s="53" t="n">
        <f aca="false">'⚙️ Assumptions'!E20</f>
        <v>0.2</v>
      </c>
      <c r="F22" s="53" t="n">
        <f aca="false">'⚙️ Assumptions'!F20</f>
        <v>0.25</v>
      </c>
      <c r="G22" s="54" t="n">
        <f aca="false">'⚙️ Assumptions'!C38*C22+'⚙️ Assumptions'!C39*D22+'⚙️ Assumptions'!C40*E22+'⚙️ Assumptions'!C41*F22</f>
        <v>0.293</v>
      </c>
      <c r="H22" s="55" t="s">
        <v>91</v>
      </c>
    </row>
    <row r="23" customFormat="false" ht="7.5" hidden="false" customHeight="true" outlineLevel="0" collapsed="false"/>
    <row r="24" customFormat="false" ht="19.5" hidden="false" customHeight="true" outlineLevel="0" collapsed="false">
      <c r="B24" s="37" t="s">
        <v>95</v>
      </c>
      <c r="C24" s="37"/>
      <c r="D24" s="37"/>
      <c r="E24" s="37"/>
      <c r="F24" s="37"/>
      <c r="G24" s="37"/>
      <c r="H24" s="37"/>
      <c r="I24" s="37"/>
    </row>
    <row r="25" customFormat="false" ht="18" hidden="false" customHeight="true" outlineLevel="0" collapsed="false">
      <c r="B25" s="24" t="s">
        <v>45</v>
      </c>
      <c r="C25" s="53" t="n">
        <f aca="false">'⚙️ Assumptions'!C16-'⚙️ Assumptions'!C23</f>
        <v>0</v>
      </c>
      <c r="D25" s="53" t="n">
        <f aca="false">'⚙️ Assumptions'!D16-'⚙️ Assumptions'!C23</f>
        <v>-0.05</v>
      </c>
      <c r="E25" s="53" t="n">
        <f aca="false">'⚙️ Assumptions'!E16-'⚙️ Assumptions'!C23</f>
        <v>-0.1</v>
      </c>
      <c r="F25" s="53" t="n">
        <f aca="false">'⚙️ Assumptions'!F16-'⚙️ Assumptions'!C23</f>
        <v>-0.07</v>
      </c>
      <c r="G25" s="54" t="n">
        <f aca="false">('⚙️ Assumptions'!C16*'⚙️ Assumptions'!C38+'⚙️ Assumptions'!D16*'⚙️ Assumptions'!C39+'⚙️ Assumptions'!E16*'⚙️ Assumptions'!C40+'⚙️ Assumptions'!F16*'⚙️ Assumptions'!C41)-'⚙️ Assumptions'!C23</f>
        <v>-0.0395</v>
      </c>
      <c r="I25" s="56" t="str">
        <f aca="false">IF(G25&lt;-0.1,"🔴 CRITICAL LEAK",IF(G25&lt;0,"⚠️ BELOW BENCHMARK","✅ ON TRACK"))</f>
        <v>⚠️ BELOW BENCHMARK</v>
      </c>
    </row>
    <row r="26" customFormat="false" ht="18" hidden="false" customHeight="true" outlineLevel="0" collapsed="false">
      <c r="B26" s="24" t="s">
        <v>46</v>
      </c>
      <c r="C26" s="53" t="n">
        <f aca="false">'⚙️ Assumptions'!C17-'⚙️ Assumptions'!C24</f>
        <v>0.0499999999999999</v>
      </c>
      <c r="D26" s="53" t="n">
        <f aca="false">'⚙️ Assumptions'!D17-'⚙️ Assumptions'!C24</f>
        <v>-0.05</v>
      </c>
      <c r="E26" s="53" t="n">
        <f aca="false">'⚙️ Assumptions'!E17-'⚙️ Assumptions'!C24</f>
        <v>-0.15</v>
      </c>
      <c r="F26" s="53" t="n">
        <f aca="false">'⚙️ Assumptions'!F17-'⚙️ Assumptions'!C24</f>
        <v>-0.1</v>
      </c>
      <c r="G26" s="54" t="n">
        <f aca="false">('⚙️ Assumptions'!C17*'⚙️ Assumptions'!C38+'⚙️ Assumptions'!D17*'⚙️ Assumptions'!C39+'⚙️ Assumptions'!E17*'⚙️ Assumptions'!C40+'⚙️ Assumptions'!F17*'⚙️ Assumptions'!C41)-'⚙️ Assumptions'!C24</f>
        <v>-0.03</v>
      </c>
      <c r="I26" s="56" t="str">
        <f aca="false">IF(G26&lt;-0.1,"🔴 CRITICAL LEAK",IF(G26&lt;0,"⚠️ BELOW BENCHMARK","✅ ON TRACK"))</f>
        <v>⚠️ BELOW BENCHMARK</v>
      </c>
    </row>
    <row r="27" customFormat="false" ht="18" hidden="false" customHeight="true" outlineLevel="0" collapsed="false">
      <c r="B27" s="24" t="s">
        <v>47</v>
      </c>
      <c r="C27" s="53" t="n">
        <f aca="false">'⚙️ Assumptions'!C18-'⚙️ Assumptions'!C25</f>
        <v>0.05</v>
      </c>
      <c r="D27" s="53" t="n">
        <f aca="false">'⚙️ Assumptions'!D18-'⚙️ Assumptions'!C25</f>
        <v>-0.05</v>
      </c>
      <c r="E27" s="53" t="n">
        <f aca="false">'⚙️ Assumptions'!E18-'⚙️ Assumptions'!C25</f>
        <v>-0.15</v>
      </c>
      <c r="F27" s="53" t="n">
        <f aca="false">'⚙️ Assumptions'!F18-'⚙️ Assumptions'!C25</f>
        <v>-0.1</v>
      </c>
      <c r="G27" s="54" t="n">
        <f aca="false">('⚙️ Assumptions'!C18*'⚙️ Assumptions'!C38+'⚙️ Assumptions'!D18*'⚙️ Assumptions'!C39+'⚙️ Assumptions'!E18*'⚙️ Assumptions'!C40+'⚙️ Assumptions'!F18*'⚙️ Assumptions'!C41)-'⚙️ Assumptions'!C25</f>
        <v>-0.0299999999999999</v>
      </c>
      <c r="I27" s="56" t="str">
        <f aca="false">IF(G27&lt;-0.1,"🔴 CRITICAL LEAK",IF(G27&lt;0,"⚠️ BELOW BENCHMARK","✅ ON TRACK"))</f>
        <v>⚠️ BELOW BENCHMARK</v>
      </c>
    </row>
    <row r="28" customFormat="false" ht="18" hidden="false" customHeight="true" outlineLevel="0" collapsed="false">
      <c r="B28" s="24" t="s">
        <v>48</v>
      </c>
      <c r="C28" s="53" t="n">
        <f aca="false">'⚙️ Assumptions'!C19-'⚙️ Assumptions'!C26</f>
        <v>0.0499999999999999</v>
      </c>
      <c r="D28" s="53" t="n">
        <f aca="false">'⚙️ Assumptions'!D19-'⚙️ Assumptions'!C26</f>
        <v>0</v>
      </c>
      <c r="E28" s="53" t="n">
        <f aca="false">'⚙️ Assumptions'!E19-'⚙️ Assumptions'!C26</f>
        <v>-0.05</v>
      </c>
      <c r="F28" s="53" t="n">
        <f aca="false">'⚙️ Assumptions'!F19-'⚙️ Assumptions'!C26</f>
        <v>-0.03</v>
      </c>
      <c r="G28" s="54" t="n">
        <f aca="false">('⚙️ Assumptions'!C19*'⚙️ Assumptions'!C38+'⚙️ Assumptions'!D19*'⚙️ Assumptions'!C39+'⚙️ Assumptions'!E19*'⚙️ Assumptions'!C40+'⚙️ Assumptions'!F19*'⚙️ Assumptions'!C41)-'⚙️ Assumptions'!C26</f>
        <v>0.00949999999999995</v>
      </c>
      <c r="I28" s="56" t="str">
        <f aca="false">IF(G28&lt;-0.1,"🔴 CRITICAL LEAK",IF(G28&lt;0,"⚠️ BELOW BENCHMARK","✅ ON TRACK"))</f>
        <v>✅ ON TRACK</v>
      </c>
    </row>
    <row r="29" customFormat="false" ht="18" hidden="false" customHeight="true" outlineLevel="0" collapsed="false">
      <c r="B29" s="24" t="s">
        <v>49</v>
      </c>
      <c r="C29" s="53" t="n">
        <f aca="false">'⚙️ Assumptions'!C20-'⚙️ Assumptions'!C27</f>
        <v>0.05</v>
      </c>
      <c r="D29" s="53" t="n">
        <f aca="false">'⚙️ Assumptions'!D20-'⚙️ Assumptions'!C27</f>
        <v>-0.02</v>
      </c>
      <c r="E29" s="53" t="n">
        <f aca="false">'⚙️ Assumptions'!E20-'⚙️ Assumptions'!C27</f>
        <v>-0.1</v>
      </c>
      <c r="F29" s="53" t="n">
        <f aca="false">'⚙️ Assumptions'!F20-'⚙️ Assumptions'!C27</f>
        <v>-0.05</v>
      </c>
      <c r="G29" s="54" t="n">
        <f aca="false">('⚙️ Assumptions'!C20*'⚙️ Assumptions'!C38+'⚙️ Assumptions'!D20*'⚙️ Assumptions'!C39+'⚙️ Assumptions'!E20*'⚙️ Assumptions'!C40+'⚙️ Assumptions'!F20*'⚙️ Assumptions'!C41)-'⚙️ Assumptions'!C27</f>
        <v>-0.00699999999999995</v>
      </c>
      <c r="I29" s="56" t="str">
        <f aca="false">IF(G29&lt;-0.1,"🔴 CRITICAL LEAK",IF(G29&lt;0,"⚠️ BELOW BENCHMARK","✅ ON TRACK"))</f>
        <v>⚠️ BELOW BENCHMARK</v>
      </c>
    </row>
  </sheetData>
  <mergeCells count="6">
    <mergeCell ref="B1:I2"/>
    <mergeCell ref="B3:I3"/>
    <mergeCell ref="B5:I5"/>
    <mergeCell ref="B9:I9"/>
    <mergeCell ref="B17:I17"/>
    <mergeCell ref="B24:I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7A2B8"/>
    <pageSetUpPr fitToPage="false"/>
  </sheetPr>
  <dimension ref="B1:I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4"/>
    <col collapsed="false" customWidth="true" hidden="false" outlineLevel="0" max="6" min="3" style="0" width="14"/>
    <col collapsed="false" customWidth="true" hidden="false" outlineLevel="0" max="8" min="7" style="0" width="16"/>
    <col collapsed="false" customWidth="true" hidden="false" outlineLevel="0" max="9" min="9" style="0" width="20"/>
  </cols>
  <sheetData>
    <row r="1" customFormat="false" ht="27.75" hidden="false" customHeight="true" outlineLevel="0" collapsed="false">
      <c r="B1" s="16" t="s">
        <v>96</v>
      </c>
      <c r="C1" s="16"/>
      <c r="D1" s="16"/>
      <c r="E1" s="16"/>
      <c r="F1" s="16"/>
      <c r="G1" s="16"/>
      <c r="H1" s="16"/>
      <c r="I1" s="16"/>
    </row>
    <row r="2" customFormat="false" ht="6" hidden="false" customHeight="true" outlineLevel="0" collapsed="false">
      <c r="B2" s="16"/>
      <c r="C2" s="16"/>
      <c r="D2" s="16"/>
      <c r="E2" s="16"/>
      <c r="F2" s="16"/>
      <c r="G2" s="16"/>
      <c r="H2" s="16"/>
      <c r="I2" s="16"/>
    </row>
    <row r="3" customFormat="false" ht="21.75" hidden="false" customHeight="true" outlineLevel="0" collapsed="false">
      <c r="B3" s="23" t="s">
        <v>97</v>
      </c>
      <c r="C3" s="23" t="s">
        <v>41</v>
      </c>
      <c r="D3" s="23" t="s">
        <v>42</v>
      </c>
      <c r="E3" s="23" t="s">
        <v>43</v>
      </c>
      <c r="F3" s="23" t="s">
        <v>74</v>
      </c>
      <c r="G3" s="23" t="s">
        <v>98</v>
      </c>
      <c r="H3" s="23" t="s">
        <v>76</v>
      </c>
      <c r="I3" s="23" t="s">
        <v>99</v>
      </c>
    </row>
    <row r="4" customFormat="false" ht="19.5" hidden="false" customHeight="true" outlineLevel="0" collapsed="false">
      <c r="B4" s="31" t="s">
        <v>100</v>
      </c>
      <c r="C4" s="31"/>
      <c r="D4" s="31"/>
      <c r="E4" s="31"/>
      <c r="F4" s="31"/>
      <c r="G4" s="31"/>
      <c r="H4" s="31"/>
      <c r="I4" s="31"/>
    </row>
    <row r="5" customFormat="false" ht="18" hidden="false" customHeight="true" outlineLevel="0" collapsed="false">
      <c r="B5" s="57" t="s">
        <v>101</v>
      </c>
      <c r="C5" s="33" t="n">
        <f aca="false">'📊 Funnel Conversion'!C14*'⚙️ Assumptions'!C9</f>
        <v>24737167.5943105</v>
      </c>
      <c r="D5" s="33" t="n">
        <f aca="false">'📊 Funnel Conversion'!D14*'⚙️ Assumptions'!C10</f>
        <v>42735042.7350427</v>
      </c>
      <c r="E5" s="33" t="n">
        <f aca="false">'📊 Funnel Conversion'!E14*'⚙️ Assumptions'!C11</f>
        <v>44642857.1428571</v>
      </c>
      <c r="F5" s="33" t="n">
        <f aca="false">'📊 Funnel Conversion'!F14*'⚙️ Assumptions'!C12</f>
        <v>17921146.953405</v>
      </c>
      <c r="G5" s="34" t="n">
        <f aca="false">SUM(C5:F5)</f>
        <v>130036214.425615</v>
      </c>
    </row>
    <row r="6" customFormat="false" ht="18" hidden="false" customHeight="true" outlineLevel="0" collapsed="false">
      <c r="B6" s="57" t="s">
        <v>102</v>
      </c>
      <c r="C6" s="33" t="n">
        <f aca="false">'📊 Funnel Conversion'!C13*'⚙️ Assumptions'!C9</f>
        <v>14842300.5565863</v>
      </c>
      <c r="D6" s="33" t="n">
        <f aca="false">'📊 Funnel Conversion'!D13*'⚙️ Assumptions'!C10</f>
        <v>21367521.3675214</v>
      </c>
      <c r="E6" s="33" t="n">
        <f aca="false">'📊 Funnel Conversion'!E13*'⚙️ Assumptions'!C11</f>
        <v>17857142.8571429</v>
      </c>
      <c r="F6" s="33" t="n">
        <f aca="false">'📊 Funnel Conversion'!F13*'⚙️ Assumptions'!C12</f>
        <v>8064516.12903226</v>
      </c>
      <c r="G6" s="34" t="n">
        <f aca="false">SUM(C6:F6)</f>
        <v>62131480.9102828</v>
      </c>
    </row>
    <row r="7" customFormat="false" ht="18" hidden="false" customHeight="true" outlineLevel="0" collapsed="false">
      <c r="B7" s="57" t="s">
        <v>103</v>
      </c>
      <c r="C7" s="33" t="n">
        <f aca="false">'📊 Funnel Conversion'!C12*'⚙️ Assumptions'!C9</f>
        <v>8163265.30612245</v>
      </c>
      <c r="D7" s="33" t="n">
        <f aca="false">'📊 Funnel Conversion'!D12*'⚙️ Assumptions'!C10</f>
        <v>9615384.61538461</v>
      </c>
      <c r="E7" s="33" t="n">
        <f aca="false">'📊 Funnel Conversion'!E12*'⚙️ Assumptions'!C11</f>
        <v>6250000</v>
      </c>
      <c r="F7" s="33" t="n">
        <f aca="false">'📊 Funnel Conversion'!F12*'⚙️ Assumptions'!C12</f>
        <v>3225806.4516129</v>
      </c>
      <c r="G7" s="34" t="n">
        <f aca="false">SUM(C7:F7)</f>
        <v>27254456.37312</v>
      </c>
    </row>
    <row r="8" customFormat="false" ht="18" hidden="false" customHeight="true" outlineLevel="0" collapsed="false">
      <c r="B8" s="57" t="s">
        <v>104</v>
      </c>
      <c r="C8" s="33" t="n">
        <f aca="false">'📊 Funnel Conversion'!C11*'⚙️ Assumptions'!C9</f>
        <v>5714285.71428572</v>
      </c>
      <c r="D8" s="33" t="n">
        <f aca="false">'📊 Funnel Conversion'!D11*'⚙️ Assumptions'!C10</f>
        <v>6250000</v>
      </c>
      <c r="E8" s="33" t="n">
        <f aca="false">'📊 Funnel Conversion'!E11*'⚙️ Assumptions'!C11</f>
        <v>3750000</v>
      </c>
      <c r="F8" s="33" t="n">
        <f aca="false">'📊 Funnel Conversion'!F11*'⚙️ Assumptions'!C12</f>
        <v>2000000</v>
      </c>
      <c r="G8" s="34" t="n">
        <f aca="false">SUM(C8:F8)</f>
        <v>17714285.7142857</v>
      </c>
    </row>
    <row r="9" customFormat="false" ht="18" hidden="false" customHeight="true" outlineLevel="0" collapsed="false">
      <c r="B9" s="57" t="s">
        <v>105</v>
      </c>
      <c r="C9" s="33" t="n">
        <f aca="false">'📊 Funnel Conversion'!C10*'⚙️ Assumptions'!C9</f>
        <v>2000000</v>
      </c>
      <c r="D9" s="33" t="n">
        <f aca="false">'📊 Funnel Conversion'!D10*'⚙️ Assumptions'!C10</f>
        <v>1750000</v>
      </c>
      <c r="E9" s="33" t="n">
        <f aca="false">'📊 Funnel Conversion'!E10*'⚙️ Assumptions'!C11</f>
        <v>750000</v>
      </c>
      <c r="F9" s="33" t="n">
        <f aca="false">'📊 Funnel Conversion'!F10*'⚙️ Assumptions'!C12</f>
        <v>500000</v>
      </c>
      <c r="G9" s="34" t="n">
        <f aca="false">SUM(C9:F9)</f>
        <v>5000000</v>
      </c>
    </row>
    <row r="10" customFormat="false" ht="7.5" hidden="false" customHeight="true" outlineLevel="0" collapsed="false"/>
    <row r="11" customFormat="false" ht="19.5" hidden="false" customHeight="true" outlineLevel="0" collapsed="false">
      <c r="B11" s="37" t="s">
        <v>106</v>
      </c>
      <c r="C11" s="37"/>
      <c r="D11" s="37"/>
      <c r="E11" s="37"/>
      <c r="F11" s="37"/>
      <c r="G11" s="37"/>
      <c r="H11" s="37"/>
      <c r="I11" s="37"/>
    </row>
    <row r="12" customFormat="false" ht="18" hidden="false" customHeight="true" outlineLevel="0" collapsed="false">
      <c r="B12" s="58" t="s">
        <v>107</v>
      </c>
      <c r="C12" s="59" t="n">
        <f aca="false">IFERROR(C5/('⚙️ Assumptions'!C4*'⚙️ Assumptions'!C38),0)</f>
        <v>12.3685837971552</v>
      </c>
      <c r="D12" s="59" t="n">
        <f aca="false">IFERROR(D5/('⚙️ Assumptions'!C4*'⚙️ Assumptions'!C39),0)</f>
        <v>24.4200244200244</v>
      </c>
      <c r="E12" s="59" t="n">
        <f aca="false">IFERROR(E5/('⚙️ Assumptions'!C4*'⚙️ Assumptions'!C40),0)</f>
        <v>59.5238095238095</v>
      </c>
      <c r="F12" s="59" t="n">
        <f aca="false">IFERROR(F5/('⚙️ Assumptions'!C4*'⚙️ Assumptions'!C41),0)</f>
        <v>35.84229390681</v>
      </c>
      <c r="G12" s="60" t="n">
        <f aca="false">IFERROR(G5/'⚙️ Assumptions'!C4,0)</f>
        <v>26.0072428851231</v>
      </c>
      <c r="H12" s="61" t="n">
        <v>3</v>
      </c>
      <c r="I12" s="62" t="str">
        <f aca="false">IF(G12&gt;=H12,"✅ ADEQUATE",IF(G12&gt;=H12*0.8,"⚠️ LOW COVERAGE","🔴 INSUFFICIENT"))</f>
        <v>✅ ADEQUATE</v>
      </c>
    </row>
    <row r="13" customFormat="false" ht="18" hidden="false" customHeight="true" outlineLevel="0" collapsed="false">
      <c r="B13" s="58" t="s">
        <v>108</v>
      </c>
      <c r="C13" s="59" t="n">
        <f aca="false">IFERROR(C6/('⚙️ Assumptions'!C4*'⚙️ Assumptions'!C38),0)</f>
        <v>7.42115027829314</v>
      </c>
      <c r="D13" s="59" t="n">
        <f aca="false">IFERROR(D6/('⚙️ Assumptions'!C4*'⚙️ Assumptions'!C39),0)</f>
        <v>12.2100122100122</v>
      </c>
      <c r="E13" s="59" t="n">
        <f aca="false">IFERROR(E6/('⚙️ Assumptions'!C4*'⚙️ Assumptions'!C40),0)</f>
        <v>23.8095238095238</v>
      </c>
      <c r="F13" s="59" t="n">
        <f aca="false">IFERROR(F6/('⚙️ Assumptions'!C4*'⚙️ Assumptions'!C41),0)</f>
        <v>16.1290322580645</v>
      </c>
      <c r="G13" s="60" t="n">
        <f aca="false">IFERROR(G6/'⚙️ Assumptions'!C4,0)</f>
        <v>12.4262961820566</v>
      </c>
      <c r="H13" s="61" t="n">
        <v>5</v>
      </c>
      <c r="I13" s="62" t="str">
        <f aca="false">IF(G13&gt;=H13,"✅ ADEQUATE",IF(G13&gt;=H13*0.8,"⚠️ LOW COVERAGE","🔴 INSUFFICIENT"))</f>
        <v>✅ ADEQUATE</v>
      </c>
    </row>
    <row r="14" customFormat="false" ht="18" hidden="false" customHeight="true" outlineLevel="0" collapsed="false">
      <c r="B14" s="58" t="s">
        <v>109</v>
      </c>
      <c r="C14" s="59" t="n">
        <f aca="false">IFERROR(C7/('⚙️ Assumptions'!C4*'⚙️ Assumptions'!C38),0)</f>
        <v>4.08163265306123</v>
      </c>
      <c r="D14" s="59" t="n">
        <f aca="false">IFERROR(D7/('⚙️ Assumptions'!C4*'⚙️ Assumptions'!C39),0)</f>
        <v>5.49450549450549</v>
      </c>
      <c r="E14" s="59" t="n">
        <f aca="false">IFERROR(E7/('⚙️ Assumptions'!C4*'⚙️ Assumptions'!C40),0)</f>
        <v>8.33333333333333</v>
      </c>
      <c r="F14" s="59" t="n">
        <f aca="false">IFERROR(F7/('⚙️ Assumptions'!C4*'⚙️ Assumptions'!C41),0)</f>
        <v>6.45161290322581</v>
      </c>
      <c r="G14" s="60" t="n">
        <f aca="false">IFERROR(G7/'⚙️ Assumptions'!C4,0)</f>
        <v>5.45089127462399</v>
      </c>
      <c r="H14" s="61" t="n">
        <v>8</v>
      </c>
      <c r="I14" s="62" t="str">
        <f aca="false">IF(G14&gt;=H14,"✅ ADEQUATE",IF(G14&gt;=H14*0.8,"⚠️ LOW COVERAGE","🔴 INSUFFICIENT"))</f>
        <v>🔴 INSUFFICIENT</v>
      </c>
    </row>
    <row r="15" customFormat="false" ht="18" hidden="false" customHeight="true" outlineLevel="0" collapsed="false">
      <c r="B15" s="58" t="s">
        <v>110</v>
      </c>
      <c r="C15" s="59" t="n">
        <f aca="false">IFERROR(C8/('⚙️ Assumptions'!C4*'⚙️ Assumptions'!C38),0)</f>
        <v>2.85714285714286</v>
      </c>
      <c r="D15" s="59" t="n">
        <f aca="false">IFERROR(D8/('⚙️ Assumptions'!C4*'⚙️ Assumptions'!C39),0)</f>
        <v>3.57142857142857</v>
      </c>
      <c r="E15" s="59" t="n">
        <f aca="false">IFERROR(E8/('⚙️ Assumptions'!C4*'⚙️ Assumptions'!C40),0)</f>
        <v>5</v>
      </c>
      <c r="F15" s="59" t="n">
        <f aca="false">IFERROR(F8/('⚙️ Assumptions'!C4*'⚙️ Assumptions'!C41),0)</f>
        <v>4</v>
      </c>
      <c r="G15" s="60" t="n">
        <f aca="false">IFERROR(G8/'⚙️ Assumptions'!C4,0)</f>
        <v>3.54285714285714</v>
      </c>
      <c r="H15" s="61" t="n">
        <v>12</v>
      </c>
      <c r="I15" s="62" t="str">
        <f aca="false">IF(G15&gt;=H15,"✅ ADEQUATE",IF(G15&gt;=H15*0.8,"⚠️ LOW COVERAGE","🔴 INSUFFICIENT"))</f>
        <v>🔴 INSUFFICIENT</v>
      </c>
    </row>
    <row r="16" customFormat="false" ht="18" hidden="false" customHeight="true" outlineLevel="0" collapsed="false">
      <c r="B16" s="58" t="s">
        <v>111</v>
      </c>
      <c r="C16" s="59" t="n">
        <f aca="false">IFERROR(C9/('⚙️ Assumptions'!C4*'⚙️ Assumptions'!C38),0)</f>
        <v>1</v>
      </c>
      <c r="D16" s="59" t="n">
        <f aca="false">IFERROR(D9/('⚙️ Assumptions'!C4*'⚙️ Assumptions'!C39),0)</f>
        <v>1</v>
      </c>
      <c r="E16" s="59" t="n">
        <f aca="false">IFERROR(E9/('⚙️ Assumptions'!C4*'⚙️ Assumptions'!C40),0)</f>
        <v>1</v>
      </c>
      <c r="F16" s="59" t="n">
        <f aca="false">IFERROR(F9/('⚙️ Assumptions'!C4*'⚙️ Assumptions'!C41),0)</f>
        <v>1</v>
      </c>
      <c r="G16" s="60" t="n">
        <f aca="false">IFERROR(G9/'⚙️ Assumptions'!C4,0)</f>
        <v>1</v>
      </c>
      <c r="H16" s="61" t="n">
        <v>20</v>
      </c>
      <c r="I16" s="62" t="str">
        <f aca="false">IF(G16&gt;=H16,"✅ ADEQUATE",IF(G16&gt;=H16*0.8,"⚠️ LOW COVERAGE","🔴 INSUFFICIENT"))</f>
        <v>🔴 INSUFFICIENT</v>
      </c>
    </row>
    <row r="17" customFormat="false" ht="7.5" hidden="false" customHeight="true" outlineLevel="0" collapsed="false"/>
    <row r="18" customFormat="false" ht="19.5" hidden="false" customHeight="true" outlineLevel="0" collapsed="false">
      <c r="B18" s="37" t="s">
        <v>112</v>
      </c>
      <c r="C18" s="37"/>
      <c r="D18" s="37"/>
      <c r="E18" s="37"/>
      <c r="F18" s="37"/>
      <c r="G18" s="37"/>
      <c r="H18" s="37"/>
      <c r="I18" s="37"/>
    </row>
    <row r="19" customFormat="false" ht="18" hidden="false" customHeight="true" outlineLevel="0" collapsed="false">
      <c r="B19" s="63" t="s">
        <v>113</v>
      </c>
      <c r="C19" s="64" t="n">
        <f aca="false">MAX(0,3*('⚙️ Assumptions'!C4*'⚙️ Assumptions'!C38)-C5*'⚙️ Assumptions'!C9)</f>
        <v>0</v>
      </c>
      <c r="D19" s="64" t="n">
        <f aca="false">MAX(0,3*('⚙️ Assumptions'!C4*'⚙️ Assumptions'!C39)-D5*'⚙️ Assumptions'!C10)</f>
        <v>0</v>
      </c>
      <c r="E19" s="64" t="n">
        <f aca="false">MAX(0,3*('⚙️ Assumptions'!C4*'⚙️ Assumptions'!C40)-E5*'⚙️ Assumptions'!C11)</f>
        <v>0</v>
      </c>
      <c r="F19" s="64" t="n">
        <f aca="false">MAX(0,3*('⚙️ Assumptions'!C4*'⚙️ Assumptions'!C41)-F5*'⚙️ Assumptions'!C12)</f>
        <v>0</v>
      </c>
      <c r="G19" s="65" t="n">
        <f aca="false">SUM(C19:F19)</f>
        <v>0</v>
      </c>
    </row>
    <row r="20" customFormat="false" ht="18" hidden="false" customHeight="true" outlineLevel="0" collapsed="false">
      <c r="B20" s="63" t="s">
        <v>114</v>
      </c>
      <c r="C20" s="64" t="n">
        <f aca="false">MAX(0,5*('⚙️ Assumptions'!C4*'⚙️ Assumptions'!C38)-C6*'⚙️ Assumptions'!C9)</f>
        <v>0</v>
      </c>
      <c r="D20" s="64" t="n">
        <f aca="false">MAX(0,5*('⚙️ Assumptions'!C4*'⚙️ Assumptions'!C39)-D6*'⚙️ Assumptions'!C10)</f>
        <v>0</v>
      </c>
      <c r="E20" s="64" t="n">
        <f aca="false">MAX(0,5*('⚙️ Assumptions'!C4*'⚙️ Assumptions'!C40)-E6*'⚙️ Assumptions'!C11)</f>
        <v>0</v>
      </c>
      <c r="F20" s="64" t="n">
        <f aca="false">MAX(0,5*('⚙️ Assumptions'!C4*'⚙️ Assumptions'!C41)-F6*'⚙️ Assumptions'!C12)</f>
        <v>0</v>
      </c>
      <c r="G20" s="65" t="n">
        <f aca="false">SUM(C20:F20)</f>
        <v>0</v>
      </c>
    </row>
    <row r="21" customFormat="false" ht="18" hidden="false" customHeight="true" outlineLevel="0" collapsed="false">
      <c r="B21" s="63" t="s">
        <v>115</v>
      </c>
      <c r="C21" s="64" t="n">
        <f aca="false">MAX(0,8*('⚙️ Assumptions'!C4*'⚙️ Assumptions'!C38)-C7*'⚙️ Assumptions'!C9)</f>
        <v>0</v>
      </c>
      <c r="D21" s="64" t="n">
        <f aca="false">MAX(0,8*('⚙️ Assumptions'!C4*'⚙️ Assumptions'!C39)-D7*'⚙️ Assumptions'!C10)</f>
        <v>0</v>
      </c>
      <c r="E21" s="64" t="n">
        <f aca="false">MAX(0,8*('⚙️ Assumptions'!C4*'⚙️ Assumptions'!C40)-E7*'⚙️ Assumptions'!C11)</f>
        <v>0</v>
      </c>
      <c r="F21" s="64" t="n">
        <f aca="false">MAX(0,8*('⚙️ Assumptions'!C4*'⚙️ Assumptions'!C41)-F7*'⚙️ Assumptions'!C12)</f>
        <v>0</v>
      </c>
      <c r="G21" s="65" t="n">
        <f aca="false">SUM(C21:F21)</f>
        <v>0</v>
      </c>
    </row>
  </sheetData>
  <mergeCells count="4">
    <mergeCell ref="B1:I2"/>
    <mergeCell ref="B4:I4"/>
    <mergeCell ref="B11:I11"/>
    <mergeCell ref="B18:I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1B8B"/>
    <pageSetUpPr fitToPage="false"/>
  </sheetPr>
  <dimension ref="B1:H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4"/>
    <col collapsed="false" customWidth="true" hidden="false" outlineLevel="0" max="6" min="3" style="0" width="14"/>
    <col collapsed="false" customWidth="true" hidden="false" outlineLevel="0" max="8" min="7" style="0" width="16"/>
  </cols>
  <sheetData>
    <row r="1" customFormat="false" ht="27.75" hidden="false" customHeight="true" outlineLevel="0" collapsed="false">
      <c r="B1" s="16" t="s">
        <v>116</v>
      </c>
      <c r="C1" s="16"/>
      <c r="D1" s="16"/>
      <c r="E1" s="16"/>
      <c r="F1" s="16"/>
      <c r="G1" s="16"/>
      <c r="H1" s="16"/>
    </row>
    <row r="2" customFormat="false" ht="6" hidden="false" customHeight="true" outlineLevel="0" collapsed="false">
      <c r="B2" s="16"/>
      <c r="C2" s="16"/>
      <c r="D2" s="16"/>
      <c r="E2" s="16"/>
      <c r="F2" s="16"/>
      <c r="G2" s="16"/>
      <c r="H2" s="16"/>
    </row>
    <row r="3" customFormat="false" ht="21.75" hidden="false" customHeight="true" outlineLevel="0" collapsed="false">
      <c r="B3" s="23" t="s">
        <v>117</v>
      </c>
      <c r="C3" s="23" t="s">
        <v>41</v>
      </c>
      <c r="D3" s="23" t="s">
        <v>42</v>
      </c>
      <c r="E3" s="23" t="s">
        <v>43</v>
      </c>
      <c r="F3" s="23" t="s">
        <v>44</v>
      </c>
      <c r="G3" s="23" t="s">
        <v>98</v>
      </c>
      <c r="H3" s="23" t="s">
        <v>118</v>
      </c>
    </row>
    <row r="4" customFormat="false" ht="19.5" hidden="false" customHeight="true" outlineLevel="0" collapsed="false">
      <c r="B4" s="37" t="s">
        <v>119</v>
      </c>
      <c r="C4" s="37"/>
      <c r="D4" s="37"/>
      <c r="E4" s="37"/>
      <c r="F4" s="37"/>
      <c r="G4" s="37"/>
      <c r="H4" s="37"/>
    </row>
    <row r="5" customFormat="false" ht="18" hidden="false" customHeight="true" outlineLevel="0" collapsed="false">
      <c r="B5" s="52" t="s">
        <v>45</v>
      </c>
      <c r="C5" s="66" t="n">
        <f aca="false">'⚙️ Assumptions'!C31</f>
        <v>14</v>
      </c>
      <c r="D5" s="66" t="n">
        <f aca="false">'⚙️ Assumptions'!D31</f>
        <v>10</v>
      </c>
      <c r="E5" s="66" t="n">
        <f aca="false">'⚙️ Assumptions'!E31</f>
        <v>7</v>
      </c>
      <c r="F5" s="66" t="n">
        <f aca="false">'⚙️ Assumptions'!F31</f>
        <v>9</v>
      </c>
      <c r="G5" s="67" t="n">
        <f aca="false">'⚙️ Assumptions'!C38*C5+'⚙️ Assumptions'!C39*D5+'⚙️ Assumptions'!C40*E5+'⚙️ Assumptions'!C41*F5</f>
        <v>11.05</v>
      </c>
    </row>
    <row r="6" customFormat="false" ht="18" hidden="false" customHeight="true" outlineLevel="0" collapsed="false">
      <c r="B6" s="68" t="s">
        <v>46</v>
      </c>
      <c r="C6" s="69" t="n">
        <f aca="false">'⚙️ Assumptions'!C32</f>
        <v>10</v>
      </c>
      <c r="D6" s="69" t="n">
        <f aca="false">'⚙️ Assumptions'!D32</f>
        <v>7</v>
      </c>
      <c r="E6" s="69" t="n">
        <f aca="false">'⚙️ Assumptions'!E32</f>
        <v>5</v>
      </c>
      <c r="F6" s="69" t="n">
        <f aca="false">'⚙️ Assumptions'!F32</f>
        <v>6</v>
      </c>
      <c r="G6" s="70" t="n">
        <f aca="false">'⚙️ Assumptions'!C38*C6+'⚙️ Assumptions'!C39*D6+'⚙️ Assumptions'!C40*E6+'⚙️ Assumptions'!C41*F6</f>
        <v>7.8</v>
      </c>
    </row>
    <row r="7" customFormat="false" ht="18" hidden="false" customHeight="true" outlineLevel="0" collapsed="false">
      <c r="B7" s="57" t="s">
        <v>47</v>
      </c>
      <c r="C7" s="71" t="n">
        <f aca="false">'⚙️ Assumptions'!C33</f>
        <v>21</v>
      </c>
      <c r="D7" s="71" t="n">
        <f aca="false">'⚙️ Assumptions'!D33</f>
        <v>14</v>
      </c>
      <c r="E7" s="71" t="n">
        <f aca="false">'⚙️ Assumptions'!E33</f>
        <v>7</v>
      </c>
      <c r="F7" s="71" t="n">
        <f aca="false">'⚙️ Assumptions'!F33</f>
        <v>10</v>
      </c>
      <c r="G7" s="72" t="n">
        <f aca="false">'⚙️ Assumptions'!C38*C7+'⚙️ Assumptions'!C39*D7+'⚙️ Assumptions'!C40*E7+'⚙️ Assumptions'!C41*F7</f>
        <v>15.35</v>
      </c>
    </row>
    <row r="8" customFormat="false" ht="18" hidden="false" customHeight="true" outlineLevel="0" collapsed="false">
      <c r="B8" s="73" t="s">
        <v>48</v>
      </c>
      <c r="C8" s="74" t="n">
        <f aca="false">'⚙️ Assumptions'!C34</f>
        <v>30</v>
      </c>
      <c r="D8" s="74" t="n">
        <f aca="false">'⚙️ Assumptions'!D34</f>
        <v>21</v>
      </c>
      <c r="E8" s="74" t="n">
        <f aca="false">'⚙️ Assumptions'!E34</f>
        <v>14</v>
      </c>
      <c r="F8" s="74" t="n">
        <f aca="false">'⚙️ Assumptions'!F34</f>
        <v>18</v>
      </c>
      <c r="G8" s="75" t="n">
        <f aca="false">'⚙️ Assumptions'!C38*C8+'⚙️ Assumptions'!C39*D8+'⚙️ Assumptions'!C40*E8+'⚙️ Assumptions'!C41*F8</f>
        <v>23.25</v>
      </c>
    </row>
    <row r="9" customFormat="false" ht="18" hidden="false" customHeight="true" outlineLevel="0" collapsed="false">
      <c r="B9" s="76" t="s">
        <v>49</v>
      </c>
      <c r="C9" s="77" t="n">
        <f aca="false">'⚙️ Assumptions'!C35</f>
        <v>45</v>
      </c>
      <c r="D9" s="77" t="n">
        <f aca="false">'⚙️ Assumptions'!D35</f>
        <v>30</v>
      </c>
      <c r="E9" s="77" t="n">
        <f aca="false">'⚙️ Assumptions'!E35</f>
        <v>21</v>
      </c>
      <c r="F9" s="77" t="n">
        <f aca="false">'⚙️ Assumptions'!F35</f>
        <v>28</v>
      </c>
      <c r="G9" s="78" t="n">
        <f aca="false">'⚙️ Assumptions'!C38*C9+'⚙️ Assumptions'!C39*D9+'⚙️ Assumptions'!C40*E9+'⚙️ Assumptions'!C41*F9</f>
        <v>34.45</v>
      </c>
    </row>
    <row r="10" customFormat="false" ht="19.5" hidden="false" customHeight="true" outlineLevel="0" collapsed="false">
      <c r="B10" s="79" t="s">
        <v>120</v>
      </c>
      <c r="C10" s="80" t="n">
        <f aca="false">SUM(C5:C9)</f>
        <v>120</v>
      </c>
      <c r="D10" s="80" t="n">
        <f aca="false">SUM(D5:D9)</f>
        <v>82</v>
      </c>
      <c r="E10" s="80" t="n">
        <f aca="false">SUM(E5:E9)</f>
        <v>54</v>
      </c>
      <c r="F10" s="80" t="n">
        <f aca="false">SUM(F5:F9)</f>
        <v>71</v>
      </c>
      <c r="G10" s="80" t="n">
        <f aca="false">SUM(G5:G9)</f>
        <v>91.9</v>
      </c>
    </row>
    <row r="11" customFormat="false" ht="7.5" hidden="false" customHeight="true" outlineLevel="0" collapsed="false"/>
    <row r="12" customFormat="false" ht="19.5" hidden="false" customHeight="true" outlineLevel="0" collapsed="false">
      <c r="B12" s="37" t="s">
        <v>121</v>
      </c>
      <c r="C12" s="37"/>
      <c r="D12" s="37"/>
      <c r="E12" s="37"/>
      <c r="F12" s="37"/>
      <c r="G12" s="37"/>
      <c r="H12" s="37"/>
    </row>
    <row r="13" customFormat="false" ht="18" hidden="false" customHeight="true" outlineLevel="0" collapsed="false">
      <c r="B13" s="81" t="s">
        <v>122</v>
      </c>
      <c r="C13" s="82" t="n">
        <f aca="false">'📊 Funnel Conversion'!C5*'⚙️ Assumptions'!C9*0.35</f>
        <v>0</v>
      </c>
      <c r="D13" s="82" t="n">
        <f aca="false">'📊 Funnel Conversion'!D5*'⚙️ Assumptions'!C10*0.35</f>
        <v>0</v>
      </c>
      <c r="E13" s="82" t="n">
        <f aca="false">'📊 Funnel Conversion'!E5*'⚙️ Assumptions'!C11*0.35</f>
        <v>0</v>
      </c>
      <c r="F13" s="82" t="n">
        <f aca="false">'📊 Funnel Conversion'!F5*'⚙️ Assumptions'!C12*0.35</f>
        <v>0</v>
      </c>
      <c r="G13" s="83" t="n">
        <f aca="false">SUM(C13:F13)</f>
        <v>0</v>
      </c>
    </row>
    <row r="14" customFormat="false" ht="18" hidden="false" customHeight="true" outlineLevel="0" collapsed="false">
      <c r="B14" s="81" t="s">
        <v>123</v>
      </c>
      <c r="C14" s="82" t="n">
        <f aca="false">'📊 Funnel Conversion'!C6*'⚙️ Assumptions'!C9*0.22</f>
        <v>52800000000</v>
      </c>
      <c r="D14" s="82" t="n">
        <f aca="false">'📊 Funnel Conversion'!D6*'⚙️ Assumptions'!C10*0.22</f>
        <v>13475000000</v>
      </c>
      <c r="E14" s="82" t="n">
        <f aca="false">'📊 Funnel Conversion'!E6*'⚙️ Assumptions'!C11*0.22</f>
        <v>1320000000</v>
      </c>
      <c r="F14" s="82" t="n">
        <f aca="false">'📊 Funnel Conversion'!F6*'⚙️ Assumptions'!C12*0.22</f>
        <v>2420000000</v>
      </c>
      <c r="G14" s="83" t="n">
        <f aca="false">SUM(C14:F14)</f>
        <v>70015000000</v>
      </c>
    </row>
    <row r="15" customFormat="false" ht="18" hidden="false" customHeight="true" outlineLevel="0" collapsed="false">
      <c r="B15" s="81" t="s">
        <v>124</v>
      </c>
      <c r="C15" s="82" t="n">
        <f aca="false">'📊 Funnel Conversion'!C7*'⚙️ Assumptions'!C9*0.12</f>
        <v>240000</v>
      </c>
      <c r="D15" s="82" t="n">
        <f aca="false">'📊 Funnel Conversion'!D7*'⚙️ Assumptions'!C10*0.12</f>
        <v>210000</v>
      </c>
      <c r="E15" s="82" t="n">
        <f aca="false">'📊 Funnel Conversion'!E7*'⚙️ Assumptions'!C11*0.12</f>
        <v>90000</v>
      </c>
      <c r="F15" s="82" t="n">
        <f aca="false">'📊 Funnel Conversion'!F7*'⚙️ Assumptions'!C12*0.12</f>
        <v>60000</v>
      </c>
      <c r="G15" s="83" t="n">
        <f aca="false">SUM(C15:F15)</f>
        <v>600000</v>
      </c>
    </row>
    <row r="16" customFormat="false" ht="18" hidden="false" customHeight="true" outlineLevel="0" collapsed="false">
      <c r="B16" s="81" t="s">
        <v>125</v>
      </c>
      <c r="C16" s="82" t="n">
        <f aca="false">'📊 Funnel Conversion'!C8*'⚙️ Assumptions'!C9*0.05</f>
        <v>0</v>
      </c>
      <c r="D16" s="82" t="n">
        <f aca="false">'📊 Funnel Conversion'!D8*'⚙️ Assumptions'!C10*0.05</f>
        <v>0</v>
      </c>
      <c r="E16" s="82" t="n">
        <f aca="false">'📊 Funnel Conversion'!E8*'⚙️ Assumptions'!C11*0.05</f>
        <v>0</v>
      </c>
      <c r="F16" s="82" t="n">
        <f aca="false">'📊 Funnel Conversion'!F8*'⚙️ Assumptions'!C12*0.05</f>
        <v>0</v>
      </c>
      <c r="G16" s="83" t="n">
        <f aca="false">SUM(C16:F16)</f>
        <v>0</v>
      </c>
    </row>
    <row r="17" customFormat="false" ht="19.5" hidden="false" customHeight="true" outlineLevel="0" collapsed="false">
      <c r="B17" s="79" t="s">
        <v>126</v>
      </c>
      <c r="C17" s="84" t="n">
        <f aca="false">SUM(C13:C16)</f>
        <v>52800240000</v>
      </c>
      <c r="D17" s="84" t="n">
        <f aca="false">SUM(D13:D16)</f>
        <v>13475210000</v>
      </c>
      <c r="E17" s="84" t="n">
        <f aca="false">SUM(E13:E16)</f>
        <v>1320090000</v>
      </c>
      <c r="F17" s="84" t="n">
        <f aca="false">SUM(F13:F16)</f>
        <v>2420060000</v>
      </c>
      <c r="G17" s="84" t="n">
        <f aca="false">SUM(G13:G16)</f>
        <v>70015600000</v>
      </c>
    </row>
    <row r="18" customFormat="false" ht="7.5" hidden="false" customHeight="true" outlineLevel="0" collapsed="false"/>
    <row r="19" customFormat="false" ht="19.5" hidden="false" customHeight="true" outlineLevel="0" collapsed="false">
      <c r="B19" s="37" t="s">
        <v>127</v>
      </c>
      <c r="C19" s="37"/>
      <c r="D19" s="37"/>
      <c r="E19" s="37"/>
      <c r="F19" s="37"/>
      <c r="G19" s="37"/>
      <c r="H19" s="37"/>
    </row>
    <row r="20" customFormat="false" ht="19.5" hidden="false" customHeight="true" outlineLevel="0" collapsed="false">
      <c r="B20" s="52" t="s">
        <v>128</v>
      </c>
      <c r="C20" s="85" t="s">
        <v>129</v>
      </c>
      <c r="D20" s="86" t="s">
        <v>130</v>
      </c>
      <c r="E20" s="86"/>
      <c r="F20" s="86"/>
    </row>
    <row r="21" customFormat="false" ht="19.5" hidden="false" customHeight="true" outlineLevel="0" collapsed="false">
      <c r="B21" s="52" t="s">
        <v>131</v>
      </c>
      <c r="C21" s="87" t="n">
        <f aca="false">IFERROR(G17/G7,0)</f>
        <v>4561276872.96417</v>
      </c>
      <c r="D21" s="86" t="s">
        <v>132</v>
      </c>
      <c r="E21" s="86"/>
      <c r="F21" s="86"/>
    </row>
    <row r="22" customFormat="false" ht="19.5" hidden="false" customHeight="true" outlineLevel="0" collapsed="false">
      <c r="B22" s="52" t="s">
        <v>133</v>
      </c>
      <c r="C22" s="87" t="n">
        <f aca="false">IFERROR('⚙️ Assumptions'!C4/G10,0)</f>
        <v>54406.9640914037</v>
      </c>
      <c r="D22" s="86" t="s">
        <v>134</v>
      </c>
      <c r="E22" s="86"/>
      <c r="F22" s="86"/>
    </row>
    <row r="23" customFormat="false" ht="19.5" hidden="false" customHeight="true" outlineLevel="0" collapsed="false">
      <c r="B23" s="52" t="s">
        <v>135</v>
      </c>
      <c r="C23" s="88" t="n">
        <f aca="false">IFERROR(G17/'⚙️ Assumptions'!C4,0)</f>
        <v>14003.12</v>
      </c>
      <c r="D23" s="86" t="s">
        <v>136</v>
      </c>
      <c r="E23" s="86"/>
      <c r="F23" s="86"/>
    </row>
  </sheetData>
  <mergeCells count="8">
    <mergeCell ref="B1:H2"/>
    <mergeCell ref="B4:H4"/>
    <mergeCell ref="B12:H12"/>
    <mergeCell ref="B19:H19"/>
    <mergeCell ref="D20:F20"/>
    <mergeCell ref="D21:F21"/>
    <mergeCell ref="D22:F22"/>
    <mergeCell ref="D23:F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B1A1A"/>
    <pageSetUpPr fitToPage="false"/>
  </sheetPr>
  <dimension ref="B1:D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0"/>
    <col collapsed="false" customWidth="true" hidden="false" outlineLevel="0" max="3" min="3" style="0" width="18"/>
    <col collapsed="false" customWidth="true" hidden="false" outlineLevel="0" max="4" min="4" style="0" width="26"/>
    <col collapsed="false" customWidth="true" hidden="false" outlineLevel="0" max="5" min="5" style="0" width="4"/>
  </cols>
  <sheetData>
    <row r="1" customFormat="false" ht="21.75" hidden="false" customHeight="true" outlineLevel="0" collapsed="false">
      <c r="B1" s="89" t="s">
        <v>137</v>
      </c>
      <c r="C1" s="89"/>
      <c r="D1" s="89"/>
    </row>
    <row r="2" customFormat="false" ht="21.75" hidden="false" customHeight="true" outlineLevel="0" collapsed="false">
      <c r="B2" s="89"/>
      <c r="C2" s="89"/>
      <c r="D2" s="89"/>
    </row>
    <row r="3" customFormat="false" ht="9.75" hidden="false" customHeight="true" outlineLevel="0" collapsed="false">
      <c r="B3" s="89"/>
      <c r="C3" s="89"/>
      <c r="D3" s="89"/>
    </row>
    <row r="4" customFormat="false" ht="3.75" hidden="false" customHeight="true" outlineLevel="0" collapsed="false">
      <c r="B4" s="3"/>
      <c r="C4" s="3"/>
      <c r="D4" s="3"/>
    </row>
    <row r="5" customFormat="false" ht="9.75" hidden="false" customHeight="true" outlineLevel="0" collapsed="false"/>
    <row r="6" customFormat="false" ht="19.5" hidden="false" customHeight="true" outlineLevel="0" collapsed="false">
      <c r="B6" s="90" t="s">
        <v>138</v>
      </c>
      <c r="C6" s="90"/>
      <c r="D6" s="90"/>
    </row>
    <row r="7" customFormat="false" ht="19.5" hidden="false" customHeight="true" outlineLevel="0" collapsed="false">
      <c r="B7" s="76" t="s">
        <v>139</v>
      </c>
      <c r="C7" s="91" t="n">
        <f aca="false">'⚙️ Assumptions'!C4</f>
        <v>5000000</v>
      </c>
      <c r="D7" s="92" t="s">
        <v>140</v>
      </c>
    </row>
    <row r="8" customFormat="false" ht="19.5" hidden="false" customHeight="true" outlineLevel="0" collapsed="false">
      <c r="B8" s="68" t="s">
        <v>141</v>
      </c>
      <c r="C8" s="93" t="n">
        <f aca="false">'📊 Funnel Conversion'!G7</f>
        <v>183.143939393939</v>
      </c>
      <c r="D8" s="94" t="s">
        <v>142</v>
      </c>
    </row>
    <row r="9" customFormat="false" ht="19.5" hidden="false" customHeight="true" outlineLevel="0" collapsed="false">
      <c r="B9" s="68" t="s">
        <v>143</v>
      </c>
      <c r="C9" s="95" t="n">
        <f aca="false">'📊 Funnel Conversion'!G18</f>
        <v>0.0118317</v>
      </c>
      <c r="D9" s="94" t="s">
        <v>130</v>
      </c>
    </row>
    <row r="10" customFormat="false" ht="19.5" hidden="false" customHeight="true" outlineLevel="0" collapsed="false">
      <c r="B10" s="76" t="s">
        <v>144</v>
      </c>
      <c r="C10" s="91" t="n">
        <f aca="false">'🎯 Coverage Analysis'!G5</f>
        <v>130036214.425615</v>
      </c>
      <c r="D10" s="92" t="s">
        <v>145</v>
      </c>
    </row>
    <row r="11" customFormat="false" ht="19.5" hidden="false" customHeight="true" outlineLevel="0" collapsed="false">
      <c r="B11" s="76" t="s">
        <v>146</v>
      </c>
      <c r="C11" s="91" t="n">
        <f aca="false">'🎯 Coverage Analysis'!G6</f>
        <v>62131480.9102828</v>
      </c>
      <c r="D11" s="92" t="s">
        <v>147</v>
      </c>
    </row>
    <row r="12" customFormat="false" ht="19.5" hidden="false" customHeight="true" outlineLevel="0" collapsed="false">
      <c r="B12" s="68" t="s">
        <v>148</v>
      </c>
      <c r="C12" s="96" t="n">
        <f aca="false">'🎯 Coverage Analysis'!G12</f>
        <v>26.0072428851231</v>
      </c>
      <c r="D12" s="94" t="s">
        <v>149</v>
      </c>
    </row>
    <row r="13" customFormat="false" ht="19.5" hidden="false" customHeight="true" outlineLevel="0" collapsed="false">
      <c r="B13" s="68" t="s">
        <v>150</v>
      </c>
      <c r="C13" s="96" t="n">
        <f aca="false">'🎯 Coverage Analysis'!G13</f>
        <v>12.4262961820566</v>
      </c>
      <c r="D13" s="94" t="s">
        <v>151</v>
      </c>
    </row>
    <row r="14" customFormat="false" ht="19.5" hidden="false" customHeight="true" outlineLevel="0" collapsed="false">
      <c r="B14" s="57" t="s">
        <v>152</v>
      </c>
      <c r="C14" s="97" t="n">
        <f aca="false">'📈 Velocity Dashboard'!G17</f>
        <v>70015600000</v>
      </c>
      <c r="D14" s="98" t="s">
        <v>153</v>
      </c>
    </row>
    <row r="15" customFormat="false" ht="19.5" hidden="false" customHeight="true" outlineLevel="0" collapsed="false">
      <c r="B15" s="57" t="s">
        <v>135</v>
      </c>
      <c r="C15" s="99" t="n">
        <f aca="false">'📈 Velocity Dashboard'!G23</f>
        <v>0</v>
      </c>
      <c r="D15" s="98" t="s">
        <v>154</v>
      </c>
    </row>
    <row r="16" customFormat="false" ht="19.5" hidden="false" customHeight="true" outlineLevel="0" collapsed="false">
      <c r="B16" s="73" t="s">
        <v>155</v>
      </c>
      <c r="C16" s="100" t="n">
        <f aca="false">'📈 Velocity Dashboard'!G10</f>
        <v>91.9</v>
      </c>
      <c r="D16" s="101" t="s">
        <v>156</v>
      </c>
    </row>
    <row r="17" customFormat="false" ht="19.5" hidden="false" customHeight="true" outlineLevel="0" collapsed="false">
      <c r="B17" s="63" t="s">
        <v>157</v>
      </c>
      <c r="C17" s="102" t="str">
        <f aca="false">IF('📊 Funnel Conversion'!G25&lt;=MIN('📊 Funnel Conversion'!G25:G29),"Lead→MQL",IF('📊 Funnel Conversion'!G26&lt;=MIN('📊 Funnel Conversion'!G26:G29),"MQL→SAL",IF('📊 Funnel Conversion'!G27&lt;=MIN('📊 Funnel Conversion'!G27:G29),"SAL→SQL",IF('📊 Funnel Conversion'!G28&lt;=MIN('📊 Funnel Conversion'!G28:G29),"SQL→Proposal","Proposal→Won"))))</f>
        <v>Lead→MQL</v>
      </c>
      <c r="D17" s="103" t="s">
        <v>158</v>
      </c>
    </row>
    <row r="18" customFormat="false" ht="9.75" hidden="false" customHeight="true" outlineLevel="0" collapsed="false"/>
    <row r="19" customFormat="false" ht="19.5" hidden="false" customHeight="true" outlineLevel="0" collapsed="false">
      <c r="B19" s="90" t="s">
        <v>159</v>
      </c>
      <c r="C19" s="90"/>
      <c r="D19" s="90"/>
    </row>
    <row r="20" customFormat="false" ht="30" hidden="false" customHeight="true" outlineLevel="0" collapsed="false">
      <c r="B20" s="104" t="s">
        <v>160</v>
      </c>
      <c r="C20" s="105" t="s">
        <v>161</v>
      </c>
      <c r="D20" s="105"/>
    </row>
    <row r="21" customFormat="false" ht="30" hidden="false" customHeight="true" outlineLevel="0" collapsed="false">
      <c r="B21" s="104" t="s">
        <v>162</v>
      </c>
      <c r="C21" s="105" t="s">
        <v>163</v>
      </c>
      <c r="D21" s="105"/>
    </row>
    <row r="22" customFormat="false" ht="30" hidden="false" customHeight="true" outlineLevel="0" collapsed="false">
      <c r="B22" s="104" t="s">
        <v>164</v>
      </c>
      <c r="C22" s="105" t="s">
        <v>165</v>
      </c>
      <c r="D22" s="105"/>
    </row>
    <row r="23" customFormat="false" ht="30" hidden="false" customHeight="true" outlineLevel="0" collapsed="false">
      <c r="B23" s="104" t="s">
        <v>166</v>
      </c>
      <c r="C23" s="105" t="s">
        <v>167</v>
      </c>
      <c r="D23" s="105"/>
    </row>
    <row r="24" customFormat="false" ht="30" hidden="false" customHeight="true" outlineLevel="0" collapsed="false">
      <c r="B24" s="104" t="s">
        <v>168</v>
      </c>
      <c r="C24" s="105" t="s">
        <v>169</v>
      </c>
      <c r="D24" s="105"/>
    </row>
    <row r="26" customFormat="false" ht="15" hidden="false" customHeight="false" outlineLevel="0" collapsed="false">
      <c r="B26" s="15" t="s">
        <v>170</v>
      </c>
      <c r="C26" s="15"/>
      <c r="D26" s="15"/>
    </row>
  </sheetData>
  <mergeCells count="10">
    <mergeCell ref="B1:D3"/>
    <mergeCell ref="B4:D4"/>
    <mergeCell ref="B6:D6"/>
    <mergeCell ref="B19:D19"/>
    <mergeCell ref="C20:D20"/>
    <mergeCell ref="C21:D21"/>
    <mergeCell ref="C22:D22"/>
    <mergeCell ref="C23:D23"/>
    <mergeCell ref="C24:D24"/>
    <mergeCell ref="B26:D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2026-03-15T01:49:28Z</dcterms:created>
  <dc:creator>openpyxl</dc:creator>
  <dc:description/>
  <dc:language>en-US</dc:language>
  <cp:lastModifiedBy/>
  <dcterms:modified xsi:type="dcterms:W3CDTF">2026-03-15T01:49:28Z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