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📖 How To Use" sheetId="1" state="visible" r:id="rId3"/>
    <sheet name="⚙️ Assumptions" sheetId="2" state="visible" r:id="rId4"/>
    <sheet name="💰 Cost Model" sheetId="3" state="visible" r:id="rId5"/>
    <sheet name="📈 Benefit Model" sheetId="4" state="visible" r:id="rId6"/>
    <sheet name="⚖️ ROI Engine" sheetId="5" state="visible" r:id="rId7"/>
    <sheet name="📊 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<sst xmlns="http://schemas.openxmlformats.org/spreadsheetml/2006/main" count="275" uniqueCount="191">
  <si>
    <t xml:space="preserve">ERP ROI &amp; Payback Calculator  —  Model Guide</t>
  </si>
  <si>
    <t xml:space="preserve">MODEL ARCHITECTURE &amp; DATA FLOW</t>
  </si>
  <si>
    <t xml:space="preserve">STEP 1  →  ⚙️ Assumptions</t>
  </si>
  <si>
    <t xml:space="preserve">Enter all blue cells: investment costs, benefit drivers, company metrics, discount rate. Enterprise defaults ($2M–$5M) are pre-loaded.</t>
  </si>
  <si>
    <t xml:space="preserve">Feeds ALL tabs</t>
  </si>
  <si>
    <t xml:space="preserve">STEP 2  →  💰 Cost Model</t>
  </si>
  <si>
    <t xml:space="preserve">Auto-calculates 5-year TCO across all five cost components. Year 1 = one-time + recurring. Years 2–5 = recurring only.</t>
  </si>
  <si>
    <t xml:space="preserve">Feeds ⚖️ ROI Engine</t>
  </si>
  <si>
    <t xml:space="preserve">STEP 3  →  📈 Benefit Model</t>
  </si>
  <si>
    <t xml:space="preserve">Quantifies three benefit streams: Efficiency Gains (FTE/cycle time), Revenue Impact, Risk Reduction. Year 1 uses a ramp-up factor.</t>
  </si>
  <si>
    <t xml:space="preserve">STEP 4  →  ⚖️ ROI Engine</t>
  </si>
  <si>
    <t xml:space="preserve">Combines costs + benefits into net cash flows. Calculates NPV, IRR, Payback, and ROI for all three scenarios simultaneously.</t>
  </si>
  <si>
    <t xml:space="preserve">Feeds 📊 Dashboard</t>
  </si>
  <si>
    <t xml:space="preserve">STEP 5  →  📊 Dashboard</t>
  </si>
  <si>
    <t xml:space="preserve">One-page executive summary: headline KPIs, scenario comparison, benefit mix chart, cumulative cash flow chart, board narrative.</t>
  </si>
  <si>
    <t xml:space="preserve">Board / CFO output</t>
  </si>
  <si>
    <t xml:space="preserve">COLOUR CODING</t>
  </si>
  <si>
    <t xml:space="preserve">Blue text</t>
  </si>
  <si>
    <t xml:space="preserve">Input cell — replace with your actuals</t>
  </si>
  <si>
    <t xml:space="preserve">Black text</t>
  </si>
  <si>
    <t xml:space="preserve">Formula — do not overwrite</t>
  </si>
  <si>
    <t xml:space="preserve">Yellow bg</t>
  </si>
  <si>
    <t xml:space="preserve">High-leverage assumption — check before sharing</t>
  </si>
  <si>
    <t xml:space="preserve">Green bg</t>
  </si>
  <si>
    <t xml:space="preserve">Positive benefit or favourable result</t>
  </si>
  <si>
    <t xml:space="preserve">Red bg</t>
  </si>
  <si>
    <t xml:space="preserve">Cost or negative cash flow</t>
  </si>
  <si>
    <t xml:space="preserve">SCENARIO DEFINITIONS</t>
  </si>
  <si>
    <t xml:space="preserve">Conservative</t>
  </si>
  <si>
    <t xml:space="preserve">Benefits × 70% of Base  |  Costs × 105% of Base. Appropriate when change management is uncertain.</t>
  </si>
  <si>
    <t xml:space="preserve">Base</t>
  </si>
  <si>
    <t xml:space="preserve">Benefits × 100%  |  Costs × 100%. Your primary case. Use for board presentation.</t>
  </si>
  <si>
    <t xml:space="preserve">Optimistic</t>
  </si>
  <si>
    <t xml:space="preserve">Benefits × 130% of Base  |  Costs × 95% of Base. Strong exec sponsorship and OCM in place.</t>
  </si>
  <si>
    <t xml:space="preserve">© 2025 EfuturesCFO.com  |  Free template — reformat for your company  |  Not financial advice</t>
  </si>
  <si>
    <t xml:space="preserve">⚙️  Assumptions — Enterprise ERP  ($2M – $5M Investment Range)</t>
  </si>
  <si>
    <t xml:space="preserve">Blue cells = your inputs  |  Yellow = high-leverage assumption  |  All three scenarios editable here</t>
  </si>
  <si>
    <t xml:space="preserve">A.  COMPANY CONTEXT</t>
  </si>
  <si>
    <t xml:space="preserve">INPUT / ASSUMPTION</t>
  </si>
  <si>
    <t xml:space="preserve">CONSERVATIVE</t>
  </si>
  <si>
    <t xml:space="preserve">BASE</t>
  </si>
  <si>
    <t xml:space="preserve">OPTIMISTIC</t>
  </si>
  <si>
    <t xml:space="preserve">NOTE</t>
  </si>
  <si>
    <t xml:space="preserve">Company Annual Revenue ($)</t>
  </si>
  <si>
    <t xml:space="preserve">Used to size revenue-impact benefits</t>
  </si>
  <si>
    <t xml:space="preserve">Finance / Admin FTE in Scope</t>
  </si>
  <si>
    <t xml:space="preserve">FTEs affected by ERP automation</t>
  </si>
  <si>
    <t xml:space="preserve">Average Fully-Loaded Cost per FTE ($)</t>
  </si>
  <si>
    <t xml:space="preserve">Salary + benefits + overhead per FTE</t>
  </si>
  <si>
    <t xml:space="preserve">Current Financial Close Cycle (days)</t>
  </si>
  <si>
    <t xml:space="preserve">Current monthly close duration</t>
  </si>
  <si>
    <t xml:space="preserve">Discount Rate / WACC (%)</t>
  </si>
  <si>
    <t xml:space="preserve">Apply same rate across all scenarios</t>
  </si>
  <si>
    <t xml:space="preserve">ERP Go-Live Month (1–12, in Year 1)</t>
  </si>
  <si>
    <t xml:space="preserve">Benefits begin after go-live</t>
  </si>
  <si>
    <t xml:space="preserve">Year 1 Benefit Ramp-Up Factor</t>
  </si>
  <si>
    <t xml:space="preserve">Partial year + learning curve adjustment</t>
  </si>
  <si>
    <t xml:space="preserve">B.  INVESTMENT COSTS — Enterprise Scale ($2M – $5M)</t>
  </si>
  <si>
    <t xml:space="preserve">  ONE-TIME IMPLEMENTATION COSTS</t>
  </si>
  <si>
    <t xml:space="preserve">Software License / SaaS Year-1 Setup ($)</t>
  </si>
  <si>
    <t xml:space="preserve">Initial license or first-year SaaS activation</t>
  </si>
  <si>
    <t xml:space="preserve">Implementation &amp; Consulting Fees ($)</t>
  </si>
  <si>
    <t xml:space="preserve">System integrator + internal project costs</t>
  </si>
  <si>
    <t xml:space="preserve">Internal IT &amp; Project Team Time ($)</t>
  </si>
  <si>
    <t xml:space="preserve">Staff time diverted to ERP project</t>
  </si>
  <si>
    <t xml:space="preserve">Training &amp; Change Management ($)</t>
  </si>
  <si>
    <t xml:space="preserve">All training + OCM investment</t>
  </si>
  <si>
    <t xml:space="preserve">Data Migration &amp; Integration ($)</t>
  </si>
  <si>
    <t xml:space="preserve">Data cleansing, ETL, middleware, APIs</t>
  </si>
  <si>
    <t xml:space="preserve">TOTAL ONE-TIME COST</t>
  </si>
  <si>
    <t xml:space="preserve">  RECURRING ANNUAL COSTS (Years 2–5)</t>
  </si>
  <si>
    <t xml:space="preserve">Annual SaaS Subscription / Maintenance ($)</t>
  </si>
  <si>
    <t xml:space="preserve">Ongoing license + vendor support</t>
  </si>
  <si>
    <t xml:space="preserve">Annual Internal IT Support ($)</t>
  </si>
  <si>
    <t xml:space="preserve">ERP admin + helpdesk staff allocation</t>
  </si>
  <si>
    <t xml:space="preserve">Annual Training — Refreshers &amp; New Hires ($)</t>
  </si>
  <si>
    <t xml:space="preserve">Ongoing training programme cost</t>
  </si>
  <si>
    <t xml:space="preserve">TOTAL ANNUAL RECURRING COST</t>
  </si>
  <si>
    <t xml:space="preserve">C.  EFFICIENCY GAINS — FTE Reduction &amp; Cycle Time</t>
  </si>
  <si>
    <t xml:space="preserve">FTE Reduction (% of in-scope Finance/Admin FTEs)</t>
  </si>
  <si>
    <t xml:space="preserve">Automation reduces headcount requirement</t>
  </si>
  <si>
    <t xml:space="preserve">Cycle Time Productivity Freed (% of FTE time)</t>
  </si>
  <si>
    <t xml:space="preserve">Time freed from manual &amp; duplicate work</t>
  </si>
  <si>
    <t xml:space="preserve">Financial Close Improvement (days saved/month)</t>
  </si>
  <si>
    <t xml:space="preserve">Faster close = senior analyst time freed</t>
  </si>
  <si>
    <t xml:space="preserve">IT Maintenance Cost Reduction (% of IT cost)</t>
  </si>
  <si>
    <t xml:space="preserve">Legacy system decommission savings</t>
  </si>
  <si>
    <t xml:space="preserve">Error &amp; Rework Reduction (% of FTE time)</t>
  </si>
  <si>
    <t xml:space="preserve">Less time correcting data errors</t>
  </si>
  <si>
    <t xml:space="preserve">D.  REVENUE IMPACT — Pricing, Order Velocity, Working Capital</t>
  </si>
  <si>
    <t xml:space="preserve">Revenue Uplift — Better Pricing / Margin Visibility (%)</t>
  </si>
  <si>
    <t xml:space="preserve">Real-time margin data improves pricing decisions</t>
  </si>
  <si>
    <t xml:space="preserve">Revenue Uplift — Faster Order Processing (%)</t>
  </si>
  <si>
    <t xml:space="preserve">Faster fulfilment reduces lost sales</t>
  </si>
  <si>
    <t xml:space="preserve">Cash Flow Gain from DSO Reduction (days)</t>
  </si>
  <si>
    <t xml:space="preserve">Better AR visibility shortens collection cycle</t>
  </si>
  <si>
    <t xml:space="preserve">E.  RISK REDUCTION — Compliance, Audit, Cyber</t>
  </si>
  <si>
    <t xml:space="preserve">Audit Cost Reduction (annual $)</t>
  </si>
  <si>
    <t xml:space="preserve">Fewer manual controls → lower external audit fees</t>
  </si>
  <si>
    <t xml:space="preserve">Compliance Penalty Avoidance (annual $)</t>
  </si>
  <si>
    <t xml:space="preserve">Reduced regulatory fine exposure</t>
  </si>
  <si>
    <t xml:space="preserve">Cyber / Data Risk Reduction (annual $)</t>
  </si>
  <si>
    <t xml:space="preserve">Modern ERP reduces legacy security risk</t>
  </si>
  <si>
    <t xml:space="preserve">Insurance Premium Reduction (annual $)</t>
  </si>
  <si>
    <t xml:space="preserve">Better controls can reduce D&amp;O / cyber premiums</t>
  </si>
  <si>
    <t xml:space="preserve">© 2025 EfuturesCFO.com  |  Enterprise defaults: $2M–$5M ERP investment  |  All blue cells are editable inputs</t>
  </si>
  <si>
    <t xml:space="preserve">💰  Total Cost of Ownership — 5-Year View  (Base Scenario)</t>
  </si>
  <si>
    <t xml:space="preserve">All values sourced from ⚙️ Assumptions. Year 1 = one-time + recurring. Years 2–5 = recurring only.</t>
  </si>
  <si>
    <t xml:space="preserve">COST COMPONENT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</si>
  <si>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</si>
  <si>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</si>
  <si>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</si>
  <si>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</si>
  <si>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</si>
  <si>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5-YR TOTAL</t>
  </si>
  <si>
    <t xml:space="preserve">Software License / SaaS Setup</t>
  </si>
  <si>
    <t xml:space="preserve">Implementation &amp; Consulting</t>
  </si>
  <si>
    <t xml:space="preserve">Internal IT &amp; Project Team Time</t>
  </si>
  <si>
    <t xml:space="preserve">Training &amp; Change Management</t>
  </si>
  <si>
    <t xml:space="preserve">Data Migration &amp; Integration</t>
  </si>
  <si>
    <t xml:space="preserve">TOTAL COST OF OWNERSHIP</t>
  </si>
  <si>
    <t xml:space="preserve">ℹ  Conservative costs × 1.05 and Optimistic costs × 0.95 are applied in ⚖️ ROI Engine to generate scenario-specific TCO.</t>
  </si>
  <si>
    <t xml:space="preserve">📈  Benefit Model — Base Scenario  |  3 Streams × 5 Years</t>
  </si>
  <si>
    <t xml:space="preserve">Year 1 benefits apply ramp-up factor (D12). Years 2–5 = full annual benefit. All drivers from ⚙️ Assumptions.</t>
  </si>
  <si>
    <t xml:space="preserve">BENEFIT STREAM</t>
  </si>
  <si>
    <t xml:space="preserve">  STREAM 1 — EFFICIENCY GAINS</t>
  </si>
  <si>
    <t xml:space="preserve">FTE Reduction Savings</t>
  </si>
  <si>
    <t xml:space="preserve">Cycle Time Productivity Savings</t>
  </si>
  <si>
    <t xml:space="preserve">Faster Close — Analyst Time Freed</t>
  </si>
  <si>
    <t xml:space="preserve">IT Maintenance Cost Reduction</t>
  </si>
  <si>
    <t xml:space="preserve">Error &amp; Rework Reduction</t>
  </si>
  <si>
    <t xml:space="preserve">TOTAL EFFICIENCY GAINS</t>
  </si>
  <si>
    <t xml:space="preserve">  STREAM 2 — REVENUE IMPACT</t>
  </si>
  <si>
    <t xml:space="preserve">Better Pricing / Margin Visibility</t>
  </si>
  <si>
    <t xml:space="preserve">Faster Order Processing / Fewer Lost Sales</t>
  </si>
  <si>
    <t xml:space="preserve">DSO Reduction — Working Capital Release</t>
  </si>
  <si>
    <t xml:space="preserve">TOTAL REVENUE IMPACT</t>
  </si>
  <si>
    <t xml:space="preserve">  STREAM 3 — RISK REDUCTION</t>
  </si>
  <si>
    <t xml:space="preserve">Audit Cost Reduction</t>
  </si>
  <si>
    <t xml:space="preserve">Compliance Penalty Avoidance</t>
  </si>
  <si>
    <t xml:space="preserve">Cyber / Data Risk Reduction</t>
  </si>
  <si>
    <t xml:space="preserve">Insurance Premium Reduction</t>
  </si>
  <si>
    <t xml:space="preserve">TOTAL RISK REDUCTION</t>
  </si>
  <si>
    <t xml:space="preserve">GRAND TOTAL BENEFITS</t>
  </si>
  <si>
    <t xml:space="preserve">⚖️  ROI Engine — NPV · IRR · Payback · 3-Scenario Comparison</t>
  </si>
  <si>
    <t xml:space="preserve">Conservative = 70% benefits / 105% costs  |  Base = 100%  |  Optimistic = 130% benefits / 95% costs</t>
  </si>
  <si>
    <t xml:space="preserve">  SCENARIO: CONSERVATIVE   (Benefits × 70%  |  Costs × 105%)</t>
  </si>
  <si>
    <t xml:space="preserve">CASH FLOW COMPONENT</t>
  </si>
  <si>
    <t xml:space="preserve">Total Benefits</t>
  </si>
  <si>
    <t xml:space="preserve">Total Costs</t>
  </si>
  <si>
    <t xml:space="preserve">Net Cash Flow</t>
  </si>
  <si>
    <t xml:space="preserve">Cumulative Net Cash Flow</t>
  </si>
  <si>
    <t xml:space="preserve">NPV — 5-Year Discounted</t>
  </si>
  <si>
    <t xml:space="preserve">Net present value at your discount rate. Positive = value-creating investment.</t>
  </si>
  <si>
    <t xml:space="preserve">IRR — Internal Rate of Return</t>
  </si>
  <si>
    <t xml:space="preserve">Compare to your hurdle rate. IRR &gt; WACC = approve. Note: uses net cash flows only (no Year 0).</t>
  </si>
  <si>
    <t xml:space="preserve">Payback Period</t>
  </si>
  <si>
    <t xml:space="preserve">Year in which cumulative net cash flows turn positive. &lt; 3 yrs = best-in-class.</t>
  </si>
  <si>
    <t xml:space="preserve">5-Year Simple ROI (%)</t>
  </si>
  <si>
    <t xml:space="preserve">(Total 5-yr Benefits − Total Costs) ÷ Total Costs</t>
  </si>
  <si>
    <t xml:space="preserve">  SCENARIO: BASE   (Benefits × 100%  |  Costs × 100%)</t>
  </si>
  <si>
    <t xml:space="preserve">  SCENARIO: OPTIMISTIC   (Benefits × 130%  |  Costs × 95%)</t>
  </si>
  <si>
    <t xml:space="preserve">📊  Executive Dashboard — ERP ROI Summary  |  Enterprise Scale</t>
  </si>
  <si>
    <t xml:space="preserve">All figures auto-populate from model inputs. Update ⚙️ Assumptions — this dashboard refreshes instantly.</t>
  </si>
  <si>
    <t xml:space="preserve">SCENARIO COMPARISON — KEY FINANCIAL METRICS</t>
  </si>
  <si>
    <t xml:space="preserve">METRIC</t>
  </si>
  <si>
    <t xml:space="preserve">5-Year NPV ($)</t>
  </si>
  <si>
    <t xml:space="preserve">IRR (%)</t>
  </si>
  <si>
    <t xml:space="preserve">Total Net Cash Flow</t>
  </si>
  <si>
    <t xml:space="preserve">BENEFIT MIX — BASE SCENARIO (5-Year Totals)</t>
  </si>
  <si>
    <t xml:space="preserve">STREAM</t>
  </si>
  <si>
    <t xml:space="preserve">TOTAL ($)</t>
  </si>
  <si>
    <t xml:space="preserve">Efficiency Gains</t>
  </si>
  <si>
    <t xml:space="preserve">Revenue Impact</t>
  </si>
  <si>
    <t xml:space="preserve">Risk Reduction</t>
  </si>
  <si>
    <t xml:space="preserve">CUMULATIVE NET CASH FLOW — ALL SCENARIOS  (Payback Visualised)</t>
  </si>
  <si>
    <t xml:space="preserve">YEAR</t>
  </si>
  <si>
    <t xml:space="preserve">BOARD NARRATIVE GUIDE</t>
  </si>
  <si>
    <t xml:space="preserve">NPV &gt; 0</t>
  </si>
  <si>
    <t xml:space="preserve">Investment creates net value at your hurdle rate. Lead with this number.</t>
  </si>
  <si>
    <t xml:space="preserve">IRR &gt; WACC</t>
  </si>
  <si>
    <t xml:space="preserve">The ERP earns more than your cost of capital. Include in CFO recommendation memo.</t>
  </si>
  <si>
    <t xml:space="preserve">Payback &lt; 3 yrs</t>
  </si>
  <si>
    <t xml:space="preserve">Best-in-class result. Use as headline in board materials and CIO/CFO joint presentation.</t>
  </si>
  <si>
    <t xml:space="preserve">Payback 3–5 yrs</t>
  </si>
  <si>
    <t xml:space="preserve">Within acceptable range. Emphasise risk reduction and strategic enablement alongside financial ROI.</t>
  </si>
  <si>
    <t xml:space="preserve">Payback &gt; 5 yrs</t>
  </si>
  <si>
    <t xml:space="preserve">Revisit assumptions. Pressure-test FTE reduction %, revenue uplift, and ramp-up factor first.</t>
  </si>
  <si>
    <t xml:space="preserve">Cons. NPV &lt; 0</t>
  </si>
  <si>
    <t xml:space="preserve">CAUTION: Downside case destroys value. Strengthen change management plan before board presentation.</t>
  </si>
  <si>
    <t xml:space="preserve">© 2025 EfuturesCFO.com  |  Enterprise defaults: $2M–$5M ERP  |  Free template — reformat for your company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</si>
</sst>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#,##0;\(#,##0\);\-"/>
    <numFmt numFmtId="167" formatCode="0.0%;\(0.0%\);\-"/>
    <numFmt numFmtId="168" formatCode="0.0&quot; yrs&quot;;\(0.0&quot; yrs)&quot;;\-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1"/>
      <color rgb="FF1A1A2E"/>
      <name val="Calibri"/>
      <family val="0"/>
      <charset val="1"/>
    </font>
    <font>
      <b val="true"/>
      <sz val="10"/>
      <color rgb="FF2B6CB0"/>
      <name val="Calibri"/>
      <family val="0"/>
      <charset val="1"/>
    </font>
    <font>
      <sz val="9"/>
      <color rgb="FF1A1A2E"/>
      <name val="Calibri"/>
      <family val="0"/>
      <charset val="1"/>
    </font>
    <font>
      <b val="true"/>
      <sz val="9"/>
      <color rgb="FF276749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b val="true"/>
      <sz val="10"/>
      <color rgb="FF744210"/>
      <name val="Calibri"/>
      <family val="0"/>
      <charset val="1"/>
    </font>
    <font>
      <b val="true"/>
      <sz val="10"/>
      <color rgb="FF276749"/>
      <name val="Calibri"/>
      <family val="0"/>
      <charset val="1"/>
    </font>
    <font>
      <b val="true"/>
      <sz val="10"/>
      <color rgb="FF9B2C2C"/>
      <name val="Calibri"/>
      <family val="0"/>
      <charset val="1"/>
    </font>
    <font>
      <i val="true"/>
      <sz val="8"/>
      <color rgb="FF4A5568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i val="true"/>
      <sz val="9"/>
      <color rgb="FF4A5568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2"/>
      <color rgb="FFC05621"/>
      <name val="Calibri"/>
      <family val="0"/>
      <charset val="1"/>
    </font>
    <font>
      <sz val="10"/>
      <color rgb="FF9B2C2C"/>
      <name val="Calibri"/>
      <family val="0"/>
      <charset val="1"/>
    </font>
    <font>
      <b val="true"/>
      <sz val="11"/>
      <color rgb="FFC05621"/>
      <name val="Calibri"/>
      <family val="0"/>
      <charset val="1"/>
    </font>
    <font>
      <sz val="10"/>
      <color rgb="FF27674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2B6CB0"/>
      <name val="Calibri"/>
      <family val="0"/>
      <charset val="1"/>
    </font>
    <font>
      <sz val="10"/>
      <color rgb="FFC05621"/>
      <name val="Calibri"/>
      <family val="0"/>
      <charset val="1"/>
    </font>
    <font>
      <b val="true"/>
      <sz val="10"/>
      <color rgb="FFC05621"/>
      <name val="Calibri"/>
      <family val="0"/>
      <charset val="1"/>
    </font>
    <font>
      <b val="true"/>
      <sz val="12"/>
      <color rgb="FF1A1A2E"/>
      <name val="Calibri"/>
      <family val="0"/>
      <charset val="1"/>
    </font>
    <font>
      <b val="true"/>
      <sz val="13"/>
      <color rgb="FF9B2C2C"/>
      <name val="Calibri"/>
      <family val="0"/>
      <charset val="1"/>
    </font>
    <font>
      <b val="true"/>
      <sz val="13"/>
      <color rgb="FF276749"/>
      <name val="Calibri"/>
      <family val="0"/>
      <charset val="1"/>
    </font>
    <font>
      <b val="true"/>
      <sz val="13"/>
      <color rgb="FF2B6CB0"/>
      <name val="Calibri"/>
      <family val="0"/>
      <charset val="1"/>
    </font>
    <font>
      <b val="true"/>
      <sz val="9"/>
      <color rgb="FF9B2C2C"/>
      <name val="Calibri"/>
      <family val="0"/>
      <charset val="1"/>
    </font>
    <font>
      <b val="true"/>
      <sz val="9"/>
      <color rgb="FF2B6CB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C05621"/>
        <bgColor rgb="FFE53E3E"/>
      </patternFill>
    </fill>
    <fill>
      <patternFill patternType="solid">
        <fgColor rgb="FFFFFFFF"/>
        <bgColor rgb="FFFFF5F5"/>
      </patternFill>
    </fill>
    <fill>
      <patternFill patternType="solid">
        <fgColor rgb="FFEDF2F7"/>
        <bgColor rgb="FFEBF8FF"/>
      </patternFill>
    </fill>
    <fill>
      <patternFill patternType="solid">
        <fgColor rgb="FFFFF5F5"/>
        <bgColor rgb="FFFFFFFF"/>
      </patternFill>
    </fill>
    <fill>
      <patternFill patternType="solid">
        <fgColor rgb="FFF0FFF4"/>
        <bgColor rgb="FFEBF8FF"/>
      </patternFill>
    </fill>
    <fill>
      <patternFill patternType="solid">
        <fgColor rgb="FFEBF8FF"/>
        <bgColor rgb="FFEDF2F7"/>
      </patternFill>
    </fill>
    <fill>
      <patternFill patternType="solid">
        <fgColor rgb="FF4A5568"/>
        <bgColor rgb="FF5A6475"/>
      </patternFill>
    </fill>
    <fill>
      <patternFill patternType="solid">
        <fgColor rgb="FFFEFCBF"/>
        <bgColor rgb="FFFFF5F5"/>
      </patternFill>
    </fill>
    <fill>
      <patternFill patternType="solid">
        <fgColor rgb="FF5A6475"/>
        <bgColor rgb="FF4A5568"/>
      </patternFill>
    </fill>
    <fill>
      <patternFill patternType="solid">
        <fgColor rgb="FF276749"/>
        <bgColor rgb="FF4A5568"/>
      </patternFill>
    </fill>
    <fill>
      <patternFill patternType="solid">
        <fgColor rgb="FFC6F6D5"/>
        <bgColor rgb="FFEDF2F7"/>
      </patternFill>
    </fill>
    <fill>
      <patternFill patternType="solid">
        <fgColor rgb="FF2B6CB0"/>
        <bgColor rgb="FF3366FF"/>
      </patternFill>
    </fill>
    <fill>
      <patternFill patternType="solid">
        <fgColor rgb="FF9B2C2C"/>
        <bgColor rgb="FF74421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6" fillId="9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7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1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1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2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4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2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1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2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6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5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5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3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2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2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749"/>
      <rgbColor rgb="FFCCCCCC"/>
      <rgbColor rgb="FF878787"/>
      <rgbColor rgb="FF9999FF"/>
      <rgbColor rgb="FF744210"/>
      <rgbColor rgb="FFFEFCBF"/>
      <rgbColor rgb="FFEBF8FF"/>
      <rgbColor rgb="FF660066"/>
      <rgbColor rgb="FFFF8080"/>
      <rgbColor rgb="FF2B6CB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C6F6D5"/>
      <rgbColor rgb="FFFFF5F5"/>
      <rgbColor rgb="FF99CCFF"/>
      <rgbColor rgb="FFFF99CC"/>
      <rgbColor rgb="FFCC99FF"/>
      <rgbColor rgb="FFEDF2F7"/>
      <rgbColor rgb="FF3366FF"/>
      <rgbColor rgb="FF33CCCC"/>
      <rgbColor rgb="FF99CC00"/>
      <rgbColor rgb="FFFFCC00"/>
      <rgbColor rgb="FFFF9900"/>
      <rgbColor rgb="FFC05621"/>
      <rgbColor rgb="FF5A6475"/>
      <rgbColor rgb="FF969696"/>
      <rgbColor rgb="FF003366"/>
      <rgbColor rgb="FF339966"/>
      <rgbColor rgb="FF003300"/>
      <rgbColor rgb="FF333300"/>
      <rgbColor rgb="FF9B2C2C"/>
      <rgbColor rgb="FFE53E3E"/>
      <rgbColor rgb="FF4A5568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5-Year Benefit Mix (Base)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'📊 Dashboard'!C13</c:f>
              <c:strCache>
                <c:ptCount val="1"/>
                <c:pt idx="0">
                  <c:v>TOTAL ($)</c:v>
                </c:pt>
              </c:strCache>
            </c:strRef>
          </c:tx>
          <c:spPr>
            <a:solidFill>
              <a:srgbClr val="2b6cb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Dashboard'!$B$14:$B$16</c:f>
              <c:strCache>
                <c:ptCount val="3"/>
                <c:pt idx="0">
                  <c:v>Efficiency Gains</c:v>
                </c:pt>
                <c:pt idx="1">
                  <c:v>Revenue Impact</c:v>
                </c:pt>
                <c:pt idx="2">
                  <c:v>Risk Reduction</c:v>
                </c:pt>
              </c:strCache>
            </c:strRef>
          </c:cat>
          <c:val>
            <c:numRef>
              <c:f>'📊 Dashboard'!$C$14:$C$16</c:f>
              <c:numCache>
                <c:formatCode>\$#,##0;"($"#,##0\);\-</c:formatCode>
                <c:ptCount val="3"/>
                <c:pt idx="0">
                  <c:v>9900000</c:v>
                </c:pt>
                <c:pt idx="1">
                  <c:v>5453321.91780822</c:v>
                </c:pt>
                <c:pt idx="2">
                  <c:v>571500</c:v>
                </c:pt>
              </c:numCache>
            </c:numRef>
          </c:val>
        </c:ser>
        <c:gapWidth val="150"/>
        <c:overlap val="0"/>
        <c:axId val="20332162"/>
        <c:axId val="43654245"/>
      </c:barChart>
      <c:catAx>
        <c:axId val="203321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54245"/>
        <c:crosses val="autoZero"/>
        <c:auto val="1"/>
        <c:lblAlgn val="ctr"/>
        <c:lblOffset val="100"/>
        <c:noMultiLvlLbl val="0"/>
      </c:catAx>
      <c:valAx>
        <c:axId val="436542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33216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Cumulative Net Cash Flow by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'📊 Dashboard'!C20</c:f>
              <c:strCache>
                <c:ptCount val="1"/>
                <c:pt idx="0">
                  <c:v>CONSERVATIVE</c:v>
                </c:pt>
              </c:strCache>
            </c:strRef>
          </c:tx>
          <c:spPr>
            <a:solidFill>
              <a:srgbClr val="e53e3e"/>
            </a:solidFill>
            <a:ln w="24840">
              <a:solidFill>
                <a:srgbClr val="e53e3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'📊 Dashboard'!$C$21:$C$25</c:f>
              <c:numCache>
                <c:formatCode>\$#,##0;"($"#,##0\);\-</c:formatCode>
                <c:ptCount val="5"/>
                <c:pt idx="0">
                  <c:v>-1648902.73972603</c:v>
                </c:pt>
                <c:pt idx="1">
                  <c:v>371541.780821918</c:v>
                </c:pt>
                <c:pt idx="2">
                  <c:v>2391986.30136986</c:v>
                </c:pt>
                <c:pt idx="3">
                  <c:v>4412430.82191781</c:v>
                </c:pt>
                <c:pt idx="4">
                  <c:v>6432875.34246575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'📊 Dashboard'!D20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276749"/>
            </a:solidFill>
            <a:ln w="24840">
              <a:solidFill>
                <a:srgbClr val="27674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'📊 Dashboard'!$D$21:$D$25</c:f>
              <c:numCache>
                <c:formatCode>\$#,##0;"($"#,##0\);\-</c:formatCode>
                <c:ptCount val="5"/>
                <c:pt idx="0">
                  <c:v>-980575.342465753</c:v>
                </c:pt>
                <c:pt idx="1">
                  <c:v>2123273.97260274</c:v>
                </c:pt>
                <c:pt idx="2">
                  <c:v>5227123.28767123</c:v>
                </c:pt>
                <c:pt idx="3">
                  <c:v>8330972.60273973</c:v>
                </c:pt>
                <c:pt idx="4">
                  <c:v>11434821.9178082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'📊 Dashboard'!E20</c:f>
              <c:strCache>
                <c:ptCount val="1"/>
                <c:pt idx="0">
                  <c:v>OPTIMISTIC</c:v>
                </c:pt>
              </c:strCache>
            </c:strRef>
          </c:tx>
          <c:spPr>
            <a:solidFill>
              <a:srgbClr val="2b6cb0"/>
            </a:solidFill>
            <a:ln w="24840">
              <a:solidFill>
                <a:srgbClr val="2b6cb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'📊 Dashboard'!$E$21:$E$25</c:f>
              <c:numCache>
                <c:formatCode>\$#,##0;"($"#,##0\);\-</c:formatCode>
                <c:ptCount val="5"/>
                <c:pt idx="0">
                  <c:v>-312247.945205479</c:v>
                </c:pt>
                <c:pt idx="1">
                  <c:v>3875006.16438356</c:v>
                </c:pt>
                <c:pt idx="2">
                  <c:v>8062260.2739726</c:v>
                </c:pt>
                <c:pt idx="3">
                  <c:v>12249514.3835616</c:v>
                </c:pt>
                <c:pt idx="4">
                  <c:v>16436768.4931507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4780775"/>
        <c:axId val="9049499"/>
      </c:lineChart>
      <c:catAx>
        <c:axId val="34780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49499"/>
        <c:crosses val="autoZero"/>
        <c:auto val="1"/>
        <c:lblAlgn val="ctr"/>
        <c:lblOffset val="100"/>
        <c:noMultiLvlLbl val="0"/>
      </c:catAx>
      <c:valAx>
        <c:axId val="904949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78077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11</xdr:row>
      <xdr:rowOff>0</xdr:rowOff>
    </xdr:from>
    <xdr:to>
      <xdr:col>9</xdr:col>
      <xdr:colOff>151560</xdr:colOff>
      <xdr:row>25</xdr:row>
      <xdr:rowOff>27720</xdr:rowOff>
    </xdr:to>
    <xdr:graphicFrame>
      <xdr:nvGraphicFramePr>
        <xdr:cNvPr id="0" name="Chart 1"/>
        <xdr:cNvGraphicFramePr/>
      </xdr:nvGraphicFramePr>
      <xdr:xfrm>
        <a:off x="3348360" y="316224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27</xdr:row>
      <xdr:rowOff>0</xdr:rowOff>
    </xdr:from>
    <xdr:to>
      <xdr:col>8</xdr:col>
      <xdr:colOff>400680</xdr:colOff>
      <xdr:row>47</xdr:row>
      <xdr:rowOff>162720</xdr:rowOff>
    </xdr:to>
    <xdr:graphicFrame>
      <xdr:nvGraphicFramePr>
        <xdr:cNvPr id="1" name="Chart 2"/>
        <xdr:cNvGraphicFramePr/>
      </xdr:nvGraphicFramePr>
      <xdr:xfrm>
        <a:off x="106200" y="704844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2E"/>
    <pageSetUpPr fitToPage="false"/>
  </sheetPr>
  <dimension ref="B1:D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2"/>
    <col collapsed="false" customWidth="true" hidden="false" outlineLevel="0" max="3" min="3" style="0" width="42"/>
    <col collapsed="false" customWidth="true" hidden="false" outlineLevel="0" max="4" min="4" style="0" width="18"/>
    <col collapsed="false" customWidth="true" hidden="false" outlineLevel="0" max="5" min="5" style="0" width="4"/>
  </cols>
  <sheetData>
    <row r="1" customFormat="false" ht="7.5" hidden="false" customHeight="true" outlineLevel="0" collapsed="false">
      <c r="B1" s="1"/>
      <c r="C1" s="1"/>
      <c r="D1" s="1"/>
    </row>
    <row r="2" customFormat="false" ht="30" hidden="false" customHeight="true" outlineLevel="0" collapsed="false">
      <c r="B2" s="2" t="s">
        <v>0</v>
      </c>
      <c r="C2" s="2"/>
      <c r="D2" s="2"/>
    </row>
    <row r="3" customFormat="false" ht="7.5" hidden="false" customHeight="true" outlineLevel="0" collapsed="false">
      <c r="B3" s="1"/>
      <c r="C3" s="1"/>
      <c r="D3" s="1"/>
    </row>
    <row r="4" customFormat="false" ht="3" hidden="false" customHeight="true" outlineLevel="0" collapsed="false">
      <c r="B4" s="3"/>
      <c r="C4" s="3"/>
      <c r="D4" s="3"/>
    </row>
    <row r="5" customFormat="false" ht="9.75" hidden="false" customHeight="true" outlineLevel="0" collapsed="false"/>
    <row r="6" customFormat="false" ht="21.75" hidden="false" customHeight="true" outlineLevel="0" collapsed="false">
      <c r="B6" s="4" t="s">
        <v>1</v>
      </c>
      <c r="C6" s="4"/>
      <c r="D6" s="4"/>
    </row>
    <row r="7" customFormat="false" ht="31.5" hidden="false" customHeight="true" outlineLevel="0" collapsed="false">
      <c r="B7" s="5" t="s">
        <v>2</v>
      </c>
      <c r="C7" s="6" t="s">
        <v>3</v>
      </c>
      <c r="D7" s="7" t="s">
        <v>4</v>
      </c>
    </row>
    <row r="8" customFormat="false" ht="31.5" hidden="false" customHeight="true" outlineLevel="0" collapsed="false">
      <c r="B8" s="8" t="s">
        <v>5</v>
      </c>
      <c r="C8" s="9" t="s">
        <v>6</v>
      </c>
      <c r="D8" s="10" t="s">
        <v>7</v>
      </c>
    </row>
    <row r="9" customFormat="false" ht="31.5" hidden="false" customHeight="true" outlineLevel="0" collapsed="false">
      <c r="B9" s="5" t="s">
        <v>8</v>
      </c>
      <c r="C9" s="6" t="s">
        <v>9</v>
      </c>
      <c r="D9" s="7" t="s">
        <v>7</v>
      </c>
    </row>
    <row r="10" customFormat="false" ht="31.5" hidden="false" customHeight="true" outlineLevel="0" collapsed="false">
      <c r="B10" s="8" t="s">
        <v>10</v>
      </c>
      <c r="C10" s="9" t="s">
        <v>11</v>
      </c>
      <c r="D10" s="10" t="s">
        <v>12</v>
      </c>
    </row>
    <row r="11" customFormat="false" ht="31.5" hidden="false" customHeight="true" outlineLevel="0" collapsed="false">
      <c r="B11" s="5" t="s">
        <v>13</v>
      </c>
      <c r="C11" s="6" t="s">
        <v>14</v>
      </c>
      <c r="D11" s="7" t="s">
        <v>15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4" t="s">
        <v>16</v>
      </c>
      <c r="C13" s="4"/>
      <c r="D13" s="4"/>
    </row>
    <row r="14" customFormat="false" ht="19.5" hidden="false" customHeight="true" outlineLevel="0" collapsed="false">
      <c r="B14" s="8" t="s">
        <v>17</v>
      </c>
      <c r="C14" s="9" t="s">
        <v>18</v>
      </c>
      <c r="D14" s="9"/>
    </row>
    <row r="15" customFormat="false" ht="19.5" hidden="false" customHeight="true" outlineLevel="0" collapsed="false">
      <c r="B15" s="11" t="s">
        <v>19</v>
      </c>
      <c r="C15" s="6" t="s">
        <v>20</v>
      </c>
      <c r="D15" s="6"/>
    </row>
    <row r="16" customFormat="false" ht="19.5" hidden="false" customHeight="true" outlineLevel="0" collapsed="false">
      <c r="B16" s="12" t="s">
        <v>21</v>
      </c>
      <c r="C16" s="9" t="s">
        <v>22</v>
      </c>
      <c r="D16" s="9"/>
    </row>
    <row r="17" customFormat="false" ht="19.5" hidden="false" customHeight="true" outlineLevel="0" collapsed="false">
      <c r="B17" s="13" t="s">
        <v>23</v>
      </c>
      <c r="C17" s="6" t="s">
        <v>24</v>
      </c>
      <c r="D17" s="6"/>
    </row>
    <row r="18" customFormat="false" ht="19.5" hidden="false" customHeight="true" outlineLevel="0" collapsed="false">
      <c r="B18" s="14" t="s">
        <v>25</v>
      </c>
      <c r="C18" s="9" t="s">
        <v>26</v>
      </c>
      <c r="D18" s="9"/>
    </row>
    <row r="19" customFormat="false" ht="9.75" hidden="false" customHeight="true" outlineLevel="0" collapsed="false"/>
    <row r="20" customFormat="false" ht="21.75" hidden="false" customHeight="true" outlineLevel="0" collapsed="false">
      <c r="B20" s="4" t="s">
        <v>27</v>
      </c>
      <c r="C20" s="4"/>
      <c r="D20" s="4"/>
    </row>
    <row r="21" customFormat="false" ht="27.75" hidden="false" customHeight="true" outlineLevel="0" collapsed="false">
      <c r="B21" s="15" t="s">
        <v>28</v>
      </c>
      <c r="C21" s="16" t="s">
        <v>29</v>
      </c>
      <c r="D21" s="16"/>
    </row>
    <row r="22" customFormat="false" ht="27.75" hidden="false" customHeight="true" outlineLevel="0" collapsed="false">
      <c r="B22" s="17" t="s">
        <v>30</v>
      </c>
      <c r="C22" s="18" t="s">
        <v>31</v>
      </c>
      <c r="D22" s="18"/>
    </row>
    <row r="23" customFormat="false" ht="27.75" hidden="false" customHeight="true" outlineLevel="0" collapsed="false">
      <c r="B23" s="19" t="s">
        <v>32</v>
      </c>
      <c r="C23" s="20" t="s">
        <v>33</v>
      </c>
      <c r="D23" s="20"/>
    </row>
    <row r="25" customFormat="false" ht="18" hidden="false" customHeight="true" outlineLevel="0" collapsed="false">
      <c r="B25" s="21" t="s">
        <v>34</v>
      </c>
      <c r="C25" s="21"/>
      <c r="D25" s="21"/>
    </row>
  </sheetData>
  <mergeCells count="16">
    <mergeCell ref="B1:D1"/>
    <mergeCell ref="B2:D2"/>
    <mergeCell ref="B3:D3"/>
    <mergeCell ref="B4:D4"/>
    <mergeCell ref="B6:D6"/>
    <mergeCell ref="B13:D13"/>
    <mergeCell ref="C14:D14"/>
    <mergeCell ref="C15:D15"/>
    <mergeCell ref="C16:D16"/>
    <mergeCell ref="C17:D17"/>
    <mergeCell ref="C18:D18"/>
    <mergeCell ref="B20:D20"/>
    <mergeCell ref="C21:D21"/>
    <mergeCell ref="C22:D22"/>
    <mergeCell ref="C23:D23"/>
    <mergeCell ref="B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5621"/>
    <pageSetUpPr fitToPage="false"/>
  </sheetPr>
  <dimension ref="B1:F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40"/>
    <col collapsed="false" customWidth="true" hidden="false" outlineLevel="0" max="5" min="3" style="0" width="16"/>
    <col collapsed="false" customWidth="true" hidden="false" outlineLevel="0" max="6" min="6" style="0" width="24"/>
    <col collapsed="false" customWidth="true" hidden="false" outlineLevel="0" max="7" min="7" style="0" width="4"/>
  </cols>
  <sheetData>
    <row r="1" customFormat="false" ht="31.5" hidden="false" customHeight="true" outlineLevel="0" collapsed="false">
      <c r="B1" s="22" t="s">
        <v>35</v>
      </c>
      <c r="C1" s="22"/>
      <c r="D1" s="22"/>
      <c r="E1" s="22"/>
      <c r="F1" s="22"/>
    </row>
    <row r="2" customFormat="false" ht="15.75" hidden="false" customHeight="true" outlineLevel="0" collapsed="false">
      <c r="B2" s="23" t="s">
        <v>36</v>
      </c>
      <c r="C2" s="23"/>
      <c r="D2" s="23"/>
      <c r="E2" s="23"/>
      <c r="F2" s="23"/>
    </row>
    <row r="3" customFormat="false" ht="7.5" hidden="false" customHeight="true" outlineLevel="0" collapsed="false"/>
    <row r="4" customFormat="false" ht="19.5" hidden="false" customHeight="true" outlineLevel="0" collapsed="false">
      <c r="B4" s="24" t="s">
        <v>37</v>
      </c>
      <c r="C4" s="24"/>
      <c r="D4" s="24"/>
      <c r="E4" s="24"/>
      <c r="F4" s="24"/>
    </row>
    <row r="5" customFormat="false" ht="21.75" hidden="false" customHeight="true" outlineLevel="0" collapsed="false">
      <c r="B5" s="25" t="s">
        <v>38</v>
      </c>
      <c r="C5" s="25" t="s">
        <v>39</v>
      </c>
      <c r="D5" s="25" t="s">
        <v>40</v>
      </c>
      <c r="E5" s="25" t="s">
        <v>41</v>
      </c>
      <c r="F5" s="25" t="s">
        <v>42</v>
      </c>
    </row>
    <row r="6" customFormat="false" ht="19.5" hidden="false" customHeight="true" outlineLevel="0" collapsed="false">
      <c r="B6" s="26" t="s">
        <v>43</v>
      </c>
      <c r="C6" s="27" t="n">
        <v>40000000</v>
      </c>
      <c r="D6" s="27" t="n">
        <v>65000000</v>
      </c>
      <c r="E6" s="27" t="n">
        <v>90000000</v>
      </c>
      <c r="F6" s="28" t="s">
        <v>44</v>
      </c>
    </row>
    <row r="7" customFormat="false" ht="19.5" hidden="false" customHeight="true" outlineLevel="0" collapsed="false">
      <c r="B7" s="29" t="s">
        <v>45</v>
      </c>
      <c r="C7" s="30" t="n">
        <v>35</v>
      </c>
      <c r="D7" s="30" t="n">
        <v>50</v>
      </c>
      <c r="E7" s="30" t="n">
        <v>70</v>
      </c>
      <c r="F7" s="31" t="s">
        <v>46</v>
      </c>
    </row>
    <row r="8" customFormat="false" ht="19.5" hidden="false" customHeight="true" outlineLevel="0" collapsed="false">
      <c r="B8" s="29" t="s">
        <v>47</v>
      </c>
      <c r="C8" s="27" t="n">
        <v>90000</v>
      </c>
      <c r="D8" s="27" t="n">
        <v>110000</v>
      </c>
      <c r="E8" s="27" t="n">
        <v>130000</v>
      </c>
      <c r="F8" s="31" t="s">
        <v>48</v>
      </c>
    </row>
    <row r="9" customFormat="false" ht="19.5" hidden="false" customHeight="true" outlineLevel="0" collapsed="false">
      <c r="B9" s="29" t="s">
        <v>49</v>
      </c>
      <c r="C9" s="30" t="n">
        <v>14</v>
      </c>
      <c r="D9" s="30" t="n">
        <v>12</v>
      </c>
      <c r="E9" s="30" t="n">
        <v>10</v>
      </c>
      <c r="F9" s="31" t="s">
        <v>50</v>
      </c>
    </row>
    <row r="10" customFormat="false" ht="19.5" hidden="false" customHeight="true" outlineLevel="0" collapsed="false">
      <c r="B10" s="26" t="s">
        <v>51</v>
      </c>
      <c r="C10" s="32" t="n">
        <v>0.1</v>
      </c>
      <c r="D10" s="32" t="n">
        <v>0.1</v>
      </c>
      <c r="E10" s="32" t="n">
        <v>0.1</v>
      </c>
      <c r="F10" s="28" t="s">
        <v>52</v>
      </c>
    </row>
    <row r="11" customFormat="false" ht="19.5" hidden="false" customHeight="true" outlineLevel="0" collapsed="false">
      <c r="B11" s="29" t="s">
        <v>53</v>
      </c>
      <c r="C11" s="30" t="n">
        <v>9</v>
      </c>
      <c r="D11" s="30" t="n">
        <v>7</v>
      </c>
      <c r="E11" s="30" t="n">
        <v>6</v>
      </c>
      <c r="F11" s="31" t="s">
        <v>54</v>
      </c>
    </row>
    <row r="12" customFormat="false" ht="19.5" hidden="false" customHeight="true" outlineLevel="0" collapsed="false">
      <c r="B12" s="26" t="s">
        <v>55</v>
      </c>
      <c r="C12" s="32" t="n">
        <v>0.35</v>
      </c>
      <c r="D12" s="32" t="n">
        <v>0.5</v>
      </c>
      <c r="E12" s="32" t="n">
        <v>0.65</v>
      </c>
      <c r="F12" s="28" t="s">
        <v>56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24" t="s">
        <v>57</v>
      </c>
      <c r="C14" s="24"/>
      <c r="D14" s="24"/>
      <c r="E14" s="24"/>
      <c r="F14" s="24"/>
    </row>
    <row r="15" customFormat="false" ht="21.75" hidden="false" customHeight="true" outlineLevel="0" collapsed="false">
      <c r="B15" s="25" t="s">
        <v>38</v>
      </c>
      <c r="C15" s="25" t="s">
        <v>39</v>
      </c>
      <c r="D15" s="25" t="s">
        <v>40</v>
      </c>
      <c r="E15" s="25" t="s">
        <v>41</v>
      </c>
      <c r="F15" s="25" t="s">
        <v>42</v>
      </c>
    </row>
    <row r="16" customFormat="false" ht="19.5" hidden="false" customHeight="true" outlineLevel="0" collapsed="false">
      <c r="B16" s="33" t="s">
        <v>58</v>
      </c>
      <c r="C16" s="33"/>
      <c r="D16" s="33"/>
      <c r="E16" s="33"/>
      <c r="F16" s="33"/>
    </row>
    <row r="17" customFormat="false" ht="19.5" hidden="false" customHeight="true" outlineLevel="0" collapsed="false">
      <c r="B17" s="29" t="s">
        <v>59</v>
      </c>
      <c r="C17" s="27" t="n">
        <v>600000</v>
      </c>
      <c r="D17" s="27" t="n">
        <v>900000</v>
      </c>
      <c r="E17" s="27" t="n">
        <v>1100000</v>
      </c>
      <c r="F17" s="31" t="s">
        <v>60</v>
      </c>
    </row>
    <row r="18" customFormat="false" ht="19.5" hidden="false" customHeight="true" outlineLevel="0" collapsed="false">
      <c r="B18" s="29" t="s">
        <v>61</v>
      </c>
      <c r="C18" s="27" t="n">
        <v>700000</v>
      </c>
      <c r="D18" s="27" t="n">
        <v>1100000</v>
      </c>
      <c r="E18" s="27" t="n">
        <v>1400000</v>
      </c>
      <c r="F18" s="31" t="s">
        <v>62</v>
      </c>
    </row>
    <row r="19" customFormat="false" ht="19.5" hidden="false" customHeight="true" outlineLevel="0" collapsed="false">
      <c r="B19" s="29" t="s">
        <v>63</v>
      </c>
      <c r="C19" s="27" t="n">
        <v>200000</v>
      </c>
      <c r="D19" s="27" t="n">
        <v>320000</v>
      </c>
      <c r="E19" s="27" t="n">
        <v>420000</v>
      </c>
      <c r="F19" s="31" t="s">
        <v>64</v>
      </c>
    </row>
    <row r="20" customFormat="false" ht="19.5" hidden="false" customHeight="true" outlineLevel="0" collapsed="false">
      <c r="B20" s="29" t="s">
        <v>65</v>
      </c>
      <c r="C20" s="27" t="n">
        <v>120000</v>
      </c>
      <c r="D20" s="27" t="n">
        <v>180000</v>
      </c>
      <c r="E20" s="27" t="n">
        <v>240000</v>
      </c>
      <c r="F20" s="31" t="s">
        <v>66</v>
      </c>
    </row>
    <row r="21" customFormat="false" ht="19.5" hidden="false" customHeight="true" outlineLevel="0" collapsed="false">
      <c r="B21" s="29" t="s">
        <v>67</v>
      </c>
      <c r="C21" s="27" t="n">
        <v>150000</v>
      </c>
      <c r="D21" s="27" t="n">
        <v>250000</v>
      </c>
      <c r="E21" s="27" t="n">
        <v>340000</v>
      </c>
      <c r="F21" s="31" t="s">
        <v>68</v>
      </c>
    </row>
    <row r="22" customFormat="false" ht="25.5" hidden="false" customHeight="true" outlineLevel="0" collapsed="false">
      <c r="B22" s="34" t="s">
        <v>69</v>
      </c>
      <c r="C22" s="35" t="n">
        <f aca="false">SUM(C17:C21)</f>
        <v>1770000</v>
      </c>
      <c r="D22" s="35" t="n">
        <f aca="false">SUM(D17:D21)</f>
        <v>2750000</v>
      </c>
      <c r="E22" s="35" t="n">
        <f aca="false">SUM(E17:E21)</f>
        <v>3500000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33" t="s">
        <v>70</v>
      </c>
      <c r="C24" s="33"/>
      <c r="D24" s="33"/>
      <c r="E24" s="33"/>
      <c r="F24" s="33"/>
    </row>
    <row r="25" customFormat="false" ht="19.5" hidden="false" customHeight="true" outlineLevel="0" collapsed="false">
      <c r="B25" s="29" t="s">
        <v>71</v>
      </c>
      <c r="C25" s="27" t="n">
        <v>180000</v>
      </c>
      <c r="D25" s="27" t="n">
        <v>260000</v>
      </c>
      <c r="E25" s="27" t="n">
        <v>340000</v>
      </c>
      <c r="F25" s="31" t="s">
        <v>72</v>
      </c>
    </row>
    <row r="26" customFormat="false" ht="19.5" hidden="false" customHeight="true" outlineLevel="0" collapsed="false">
      <c r="B26" s="29" t="s">
        <v>73</v>
      </c>
      <c r="C26" s="27" t="n">
        <v>90000</v>
      </c>
      <c r="D26" s="27" t="n">
        <v>130000</v>
      </c>
      <c r="E26" s="27" t="n">
        <v>170000</v>
      </c>
      <c r="F26" s="31" t="s">
        <v>74</v>
      </c>
    </row>
    <row r="27" customFormat="false" ht="19.5" hidden="false" customHeight="true" outlineLevel="0" collapsed="false">
      <c r="B27" s="29" t="s">
        <v>75</v>
      </c>
      <c r="C27" s="27" t="n">
        <v>30000</v>
      </c>
      <c r="D27" s="27" t="n">
        <v>45000</v>
      </c>
      <c r="E27" s="27" t="n">
        <v>60000</v>
      </c>
      <c r="F27" s="31" t="s">
        <v>76</v>
      </c>
    </row>
    <row r="28" customFormat="false" ht="25.5" hidden="false" customHeight="true" outlineLevel="0" collapsed="false">
      <c r="B28" s="34" t="s">
        <v>77</v>
      </c>
      <c r="C28" s="35" t="n">
        <f aca="false">SUM(C25:C27)</f>
        <v>300000</v>
      </c>
      <c r="D28" s="35" t="n">
        <f aca="false">SUM(D25:D27)</f>
        <v>435000</v>
      </c>
      <c r="E28" s="35" t="n">
        <f aca="false">SUM(E25:E27)</f>
        <v>570000</v>
      </c>
    </row>
    <row r="29" customFormat="false" ht="7.5" hidden="false" customHeight="true" outlineLevel="0" collapsed="false"/>
    <row r="30" customFormat="false" ht="19.5" hidden="false" customHeight="true" outlineLevel="0" collapsed="false">
      <c r="B30" s="24" t="s">
        <v>78</v>
      </c>
      <c r="C30" s="24"/>
      <c r="D30" s="24"/>
      <c r="E30" s="24"/>
      <c r="F30" s="24"/>
    </row>
    <row r="31" customFormat="false" ht="21.75" hidden="false" customHeight="true" outlineLevel="0" collapsed="false">
      <c r="B31" s="25" t="s">
        <v>38</v>
      </c>
      <c r="C31" s="25" t="s">
        <v>39</v>
      </c>
      <c r="D31" s="25" t="s">
        <v>40</v>
      </c>
      <c r="E31" s="25" t="s">
        <v>41</v>
      </c>
      <c r="F31" s="25" t="s">
        <v>42</v>
      </c>
    </row>
    <row r="32" customFormat="false" ht="19.5" hidden="false" customHeight="true" outlineLevel="0" collapsed="false">
      <c r="B32" s="26" t="s">
        <v>79</v>
      </c>
      <c r="C32" s="32" t="n">
        <v>0.08</v>
      </c>
      <c r="D32" s="32" t="n">
        <v>0.14</v>
      </c>
      <c r="E32" s="32" t="n">
        <v>0.2</v>
      </c>
      <c r="F32" s="28" t="s">
        <v>80</v>
      </c>
    </row>
    <row r="33" customFormat="false" ht="19.5" hidden="false" customHeight="true" outlineLevel="0" collapsed="false">
      <c r="B33" s="29" t="s">
        <v>81</v>
      </c>
      <c r="C33" s="32" t="n">
        <v>0.1</v>
      </c>
      <c r="D33" s="32" t="n">
        <v>0.16</v>
      </c>
      <c r="E33" s="32" t="n">
        <v>0.24</v>
      </c>
      <c r="F33" s="31" t="s">
        <v>82</v>
      </c>
    </row>
    <row r="34" customFormat="false" ht="19.5" hidden="false" customHeight="true" outlineLevel="0" collapsed="false">
      <c r="B34" s="29" t="s">
        <v>83</v>
      </c>
      <c r="C34" s="30" t="n">
        <v>3</v>
      </c>
      <c r="D34" s="30" t="n">
        <v>5</v>
      </c>
      <c r="E34" s="30" t="n">
        <v>7</v>
      </c>
      <c r="F34" s="31" t="s">
        <v>84</v>
      </c>
    </row>
    <row r="35" customFormat="false" ht="19.5" hidden="false" customHeight="true" outlineLevel="0" collapsed="false">
      <c r="B35" s="29" t="s">
        <v>85</v>
      </c>
      <c r="C35" s="32" t="n">
        <v>0.15</v>
      </c>
      <c r="D35" s="32" t="n">
        <v>0.22</v>
      </c>
      <c r="E35" s="32" t="n">
        <v>0.32</v>
      </c>
      <c r="F35" s="31" t="s">
        <v>86</v>
      </c>
    </row>
    <row r="36" customFormat="false" ht="19.5" hidden="false" customHeight="true" outlineLevel="0" collapsed="false">
      <c r="B36" s="29" t="s">
        <v>87</v>
      </c>
      <c r="C36" s="32" t="n">
        <v>0.05</v>
      </c>
      <c r="D36" s="32" t="n">
        <v>0.09</v>
      </c>
      <c r="E36" s="32" t="n">
        <v>0.14</v>
      </c>
      <c r="F36" s="31" t="s">
        <v>88</v>
      </c>
    </row>
    <row r="37" customFormat="false" ht="7.5" hidden="false" customHeight="true" outlineLevel="0" collapsed="false"/>
    <row r="38" customFormat="false" ht="19.5" hidden="false" customHeight="true" outlineLevel="0" collapsed="false">
      <c r="B38" s="24" t="s">
        <v>89</v>
      </c>
      <c r="C38" s="24"/>
      <c r="D38" s="24"/>
      <c r="E38" s="24"/>
      <c r="F38" s="24"/>
    </row>
    <row r="39" customFormat="false" ht="21.75" hidden="false" customHeight="true" outlineLevel="0" collapsed="false">
      <c r="B39" s="25" t="s">
        <v>38</v>
      </c>
      <c r="C39" s="25" t="s">
        <v>39</v>
      </c>
      <c r="D39" s="25" t="s">
        <v>40</v>
      </c>
      <c r="E39" s="25" t="s">
        <v>41</v>
      </c>
      <c r="F39" s="25" t="s">
        <v>42</v>
      </c>
    </row>
    <row r="40" customFormat="false" ht="19.5" hidden="false" customHeight="true" outlineLevel="0" collapsed="false">
      <c r="B40" s="26" t="s">
        <v>90</v>
      </c>
      <c r="C40" s="32" t="n">
        <v>0.005</v>
      </c>
      <c r="D40" s="32" t="n">
        <v>0.01</v>
      </c>
      <c r="E40" s="32" t="n">
        <v>0.018</v>
      </c>
      <c r="F40" s="28" t="s">
        <v>91</v>
      </c>
    </row>
    <row r="41" customFormat="false" ht="19.5" hidden="false" customHeight="true" outlineLevel="0" collapsed="false">
      <c r="B41" s="29" t="s">
        <v>92</v>
      </c>
      <c r="C41" s="32" t="n">
        <v>0.003</v>
      </c>
      <c r="D41" s="32" t="n">
        <v>0.007</v>
      </c>
      <c r="E41" s="32" t="n">
        <v>0.012</v>
      </c>
      <c r="F41" s="31" t="s">
        <v>93</v>
      </c>
    </row>
    <row r="42" customFormat="false" ht="19.5" hidden="false" customHeight="true" outlineLevel="0" collapsed="false">
      <c r="B42" s="29" t="s">
        <v>94</v>
      </c>
      <c r="C42" s="30" t="n">
        <v>4</v>
      </c>
      <c r="D42" s="30" t="n">
        <v>6</v>
      </c>
      <c r="E42" s="30" t="n">
        <v>10</v>
      </c>
      <c r="F42" s="31" t="s">
        <v>95</v>
      </c>
    </row>
    <row r="43" customFormat="false" ht="7.5" hidden="false" customHeight="true" outlineLevel="0" collapsed="false"/>
    <row r="44" customFormat="false" ht="19.5" hidden="false" customHeight="true" outlineLevel="0" collapsed="false">
      <c r="B44" s="24" t="s">
        <v>96</v>
      </c>
      <c r="C44" s="24"/>
      <c r="D44" s="24"/>
      <c r="E44" s="24"/>
      <c r="F44" s="24"/>
    </row>
    <row r="45" customFormat="false" ht="21.75" hidden="false" customHeight="true" outlineLevel="0" collapsed="false">
      <c r="B45" s="25" t="s">
        <v>38</v>
      </c>
      <c r="C45" s="25" t="s">
        <v>39</v>
      </c>
      <c r="D45" s="25" t="s">
        <v>40</v>
      </c>
      <c r="E45" s="25" t="s">
        <v>41</v>
      </c>
      <c r="F45" s="25" t="s">
        <v>42</v>
      </c>
    </row>
    <row r="46" customFormat="false" ht="19.5" hidden="false" customHeight="true" outlineLevel="0" collapsed="false">
      <c r="B46" s="26" t="s">
        <v>97</v>
      </c>
      <c r="C46" s="27" t="n">
        <v>25000</v>
      </c>
      <c r="D46" s="27" t="n">
        <v>45000</v>
      </c>
      <c r="E46" s="27" t="n">
        <v>70000</v>
      </c>
      <c r="F46" s="28" t="s">
        <v>98</v>
      </c>
    </row>
    <row r="47" customFormat="false" ht="19.5" hidden="false" customHeight="true" outlineLevel="0" collapsed="false">
      <c r="B47" s="29" t="s">
        <v>99</v>
      </c>
      <c r="C47" s="27" t="n">
        <v>20000</v>
      </c>
      <c r="D47" s="27" t="n">
        <v>40000</v>
      </c>
      <c r="E47" s="27" t="n">
        <v>65000</v>
      </c>
      <c r="F47" s="31" t="s">
        <v>100</v>
      </c>
    </row>
    <row r="48" customFormat="false" ht="19.5" hidden="false" customHeight="true" outlineLevel="0" collapsed="false">
      <c r="B48" s="29" t="s">
        <v>101</v>
      </c>
      <c r="C48" s="27" t="n">
        <v>15000</v>
      </c>
      <c r="D48" s="27" t="n">
        <v>28000</v>
      </c>
      <c r="E48" s="27" t="n">
        <v>45000</v>
      </c>
      <c r="F48" s="31" t="s">
        <v>102</v>
      </c>
    </row>
    <row r="49" customFormat="false" ht="19.5" hidden="false" customHeight="true" outlineLevel="0" collapsed="false">
      <c r="B49" s="29" t="s">
        <v>103</v>
      </c>
      <c r="C49" s="27" t="n">
        <v>8000</v>
      </c>
      <c r="D49" s="27" t="n">
        <v>14000</v>
      </c>
      <c r="E49" s="27" t="n">
        <v>22000</v>
      </c>
      <c r="F49" s="31" t="s">
        <v>104</v>
      </c>
    </row>
    <row r="50" customFormat="false" ht="7.5" hidden="false" customHeight="true" outlineLevel="0" collapsed="false"/>
    <row r="51" customFormat="false" ht="18" hidden="false" customHeight="true" outlineLevel="0" collapsed="false">
      <c r="B51" s="21" t="s">
        <v>105</v>
      </c>
      <c r="C51" s="21"/>
      <c r="D51" s="21"/>
      <c r="E51" s="21"/>
      <c r="F51" s="21"/>
    </row>
  </sheetData>
  <mergeCells count="10">
    <mergeCell ref="B1:F1"/>
    <mergeCell ref="B2:F2"/>
    <mergeCell ref="B4:F4"/>
    <mergeCell ref="B14:F14"/>
    <mergeCell ref="B16:F16"/>
    <mergeCell ref="B24:F24"/>
    <mergeCell ref="B30:F30"/>
    <mergeCell ref="B38:F38"/>
    <mergeCell ref="B44:F44"/>
    <mergeCell ref="B51:F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B2C2C"/>
    <pageSetUpPr fitToPage="false"/>
  </sheetPr>
  <dimension ref="B1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2"/>
    <col collapsed="false" customWidth="true" hidden="false" outlineLevel="0" max="7" min="3" style="0" width="14"/>
    <col collapsed="false" customWidth="true" hidden="false" outlineLevel="0" max="8" min="8" style="0" width="16"/>
    <col collapsed="false" customWidth="true" hidden="false" outlineLevel="0" max="9" min="9" style="0" width="4"/>
  </cols>
  <sheetData>
    <row r="1" customFormat="false" ht="31.5" hidden="false" customHeight="true" outlineLevel="0" collapsed="false">
      <c r="B1" s="22" t="s">
        <v>106</v>
      </c>
      <c r="C1" s="22"/>
      <c r="D1" s="22"/>
      <c r="E1" s="22"/>
      <c r="F1" s="22"/>
      <c r="G1" s="22"/>
      <c r="H1" s="22"/>
    </row>
    <row r="2" customFormat="false" ht="15.75" hidden="false" customHeight="true" outlineLevel="0" collapsed="false">
      <c r="B2" s="23" t="s">
        <v>107</v>
      </c>
      <c r="C2" s="23"/>
      <c r="D2" s="23"/>
      <c r="E2" s="23"/>
      <c r="F2" s="23"/>
      <c r="G2" s="23"/>
      <c r="H2" s="23"/>
    </row>
    <row r="3" customFormat="false" ht="7.5" hidden="false" customHeight="true" outlineLevel="0" collapsed="false"/>
    <row r="4" customFormat="false" ht="21.75" hidden="false" customHeight="true" outlineLevel="0" collapsed="false">
      <c r="B4" s="36" t="s">
        <v>108</v>
      </c>
      <c r="C4" s="37" t="s">
        <v>109</v>
      </c>
      <c r="D4" s="37" t="s">
        <v>110</v>
      </c>
      <c r="E4" s="37" t="s">
        <v>111</v>
      </c>
      <c r="F4" s="37" t="s">
        <v>112</v>
      </c>
      <c r="G4" s="37" t="s">
        <v>113</v>
      </c>
      <c r="H4" s="37" t="s">
        <v>114</v>
      </c>
    </row>
    <row r="5" customFormat="false" ht="21.75" hidden="false" customHeight="true" outlineLevel="0" collapsed="false">
      <c r="B5" s="29" t="s">
        <v>115</v>
      </c>
      <c r="C5" s="38" t="n">
        <f aca="false">'⚙️ Assumptions'!D17</f>
        <v>900000</v>
      </c>
      <c r="D5" s="38" t="n">
        <f aca="false">'⚙️ Assumptions'!D25</f>
        <v>260000</v>
      </c>
      <c r="E5" s="38" t="n">
        <f aca="false">'⚙️ Assumptions'!D25</f>
        <v>260000</v>
      </c>
      <c r="F5" s="38" t="n">
        <f aca="false">'⚙️ Assumptions'!D25</f>
        <v>260000</v>
      </c>
      <c r="G5" s="38" t="n">
        <f aca="false">'⚙️ Assumptions'!D25</f>
        <v>260000</v>
      </c>
      <c r="H5" s="39" t="n">
        <f aca="false">SUM(C5:G5)</f>
        <v>1940000</v>
      </c>
    </row>
    <row r="6" customFormat="false" ht="21.75" hidden="false" customHeight="true" outlineLevel="0" collapsed="false">
      <c r="B6" s="40" t="s">
        <v>116</v>
      </c>
      <c r="C6" s="41" t="n">
        <f aca="false">'⚙️ Assumptions'!D18</f>
        <v>1100000</v>
      </c>
      <c r="D6" s="41" t="n">
        <v>0</v>
      </c>
      <c r="E6" s="41" t="n">
        <v>0</v>
      </c>
      <c r="F6" s="41" t="n">
        <v>0</v>
      </c>
      <c r="G6" s="41" t="n">
        <v>0</v>
      </c>
      <c r="H6" s="42" t="n">
        <f aca="false">SUM(C6:G6)</f>
        <v>1100000</v>
      </c>
    </row>
    <row r="7" customFormat="false" ht="21.75" hidden="false" customHeight="true" outlineLevel="0" collapsed="false">
      <c r="B7" s="29" t="s">
        <v>117</v>
      </c>
      <c r="C7" s="38" t="n">
        <f aca="false">'⚙️ Assumptions'!D19</f>
        <v>320000</v>
      </c>
      <c r="D7" s="38" t="n">
        <f aca="false">'⚙️ Assumptions'!D26</f>
        <v>130000</v>
      </c>
      <c r="E7" s="38" t="n">
        <f aca="false">'⚙️ Assumptions'!D26</f>
        <v>130000</v>
      </c>
      <c r="F7" s="38" t="n">
        <f aca="false">'⚙️ Assumptions'!D26</f>
        <v>130000</v>
      </c>
      <c r="G7" s="38" t="n">
        <f aca="false">'⚙️ Assumptions'!D26</f>
        <v>130000</v>
      </c>
      <c r="H7" s="39" t="n">
        <f aca="false">SUM(C7:G7)</f>
        <v>840000</v>
      </c>
    </row>
    <row r="8" customFormat="false" ht="21.75" hidden="false" customHeight="true" outlineLevel="0" collapsed="false">
      <c r="B8" s="40" t="s">
        <v>118</v>
      </c>
      <c r="C8" s="41" t="n">
        <f aca="false">'⚙️ Assumptions'!D20</f>
        <v>180000</v>
      </c>
      <c r="D8" s="41" t="n">
        <f aca="false">'⚙️ Assumptions'!D27</f>
        <v>45000</v>
      </c>
      <c r="E8" s="41" t="n">
        <f aca="false">'⚙️ Assumptions'!D27</f>
        <v>45000</v>
      </c>
      <c r="F8" s="41" t="n">
        <f aca="false">'⚙️ Assumptions'!D27</f>
        <v>45000</v>
      </c>
      <c r="G8" s="41" t="n">
        <f aca="false">'⚙️ Assumptions'!D27</f>
        <v>45000</v>
      </c>
      <c r="H8" s="42" t="n">
        <f aca="false">SUM(C8:G8)</f>
        <v>360000</v>
      </c>
    </row>
    <row r="9" customFormat="false" ht="21.75" hidden="false" customHeight="true" outlineLevel="0" collapsed="false">
      <c r="B9" s="29" t="s">
        <v>119</v>
      </c>
      <c r="C9" s="38" t="n">
        <f aca="false">'⚙️ Assumptions'!D21</f>
        <v>250000</v>
      </c>
      <c r="D9" s="38" t="n">
        <v>0</v>
      </c>
      <c r="E9" s="38" t="n">
        <v>0</v>
      </c>
      <c r="F9" s="38" t="n">
        <v>0</v>
      </c>
      <c r="G9" s="38" t="n">
        <v>0</v>
      </c>
      <c r="H9" s="39" t="n">
        <f aca="false">SUM(C9:G9)</f>
        <v>250000</v>
      </c>
    </row>
    <row r="10" customFormat="false" ht="27.75" hidden="false" customHeight="true" outlineLevel="0" collapsed="false">
      <c r="B10" s="34" t="s">
        <v>120</v>
      </c>
      <c r="C10" s="43" t="n">
        <f aca="false">SUM(C5:C9)</f>
        <v>2750000</v>
      </c>
      <c r="D10" s="43" t="n">
        <f aca="false">SUM(D5:D9)</f>
        <v>435000</v>
      </c>
      <c r="E10" s="43" t="n">
        <f aca="false">SUM(E5:E9)</f>
        <v>435000</v>
      </c>
      <c r="F10" s="43" t="n">
        <f aca="false">SUM(F5:F9)</f>
        <v>435000</v>
      </c>
      <c r="G10" s="43" t="n">
        <f aca="false">SUM(G5:G9)</f>
        <v>435000</v>
      </c>
      <c r="H10" s="43" t="n">
        <f aca="false">SUM(H5:H9)</f>
        <v>4490000</v>
      </c>
    </row>
    <row r="11" customFormat="false" ht="7.5" hidden="false" customHeight="true" outlineLevel="0" collapsed="false"/>
    <row r="12" customFormat="false" ht="18" hidden="false" customHeight="true" outlineLevel="0" collapsed="false">
      <c r="B12" s="44" t="s">
        <v>121</v>
      </c>
      <c r="C12" s="44"/>
      <c r="D12" s="44"/>
      <c r="E12" s="44"/>
      <c r="F12" s="44"/>
      <c r="G12" s="44"/>
      <c r="H12" s="44"/>
    </row>
  </sheetData>
  <mergeCells count="3">
    <mergeCell ref="B1:H1"/>
    <mergeCell ref="B2:H2"/>
    <mergeCell ref="B12:H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6749"/>
    <pageSetUpPr fitToPage="false"/>
  </sheetPr>
  <dimension ref="B1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4"/>
    <col collapsed="false" customWidth="true" hidden="false" outlineLevel="0" max="7" min="3" style="0" width="14"/>
    <col collapsed="false" customWidth="true" hidden="false" outlineLevel="0" max="8" min="8" style="0" width="16"/>
    <col collapsed="false" customWidth="true" hidden="false" outlineLevel="0" max="9" min="9" style="0" width="4"/>
  </cols>
  <sheetData>
    <row r="1" customFormat="false" ht="31.5" hidden="false" customHeight="true" outlineLevel="0" collapsed="false">
      <c r="B1" s="22" t="s">
        <v>122</v>
      </c>
      <c r="C1" s="22"/>
      <c r="D1" s="22"/>
      <c r="E1" s="22"/>
      <c r="F1" s="22"/>
      <c r="G1" s="22"/>
      <c r="H1" s="22"/>
    </row>
    <row r="2" customFormat="false" ht="15.75" hidden="false" customHeight="true" outlineLevel="0" collapsed="false">
      <c r="B2" s="23" t="s">
        <v>123</v>
      </c>
      <c r="C2" s="23"/>
      <c r="D2" s="23"/>
      <c r="E2" s="23"/>
      <c r="F2" s="23"/>
      <c r="G2" s="23"/>
      <c r="H2" s="23"/>
    </row>
    <row r="3" customFormat="false" ht="7.5" hidden="false" customHeight="true" outlineLevel="0" collapsed="false"/>
    <row r="4" customFormat="false" ht="21.75" hidden="false" customHeight="true" outlineLevel="0" collapsed="false">
      <c r="B4" s="36" t="s">
        <v>124</v>
      </c>
      <c r="C4" s="37" t="s">
        <v>109</v>
      </c>
      <c r="D4" s="37" t="s">
        <v>110</v>
      </c>
      <c r="E4" s="37" t="s">
        <v>111</v>
      </c>
      <c r="F4" s="37" t="s">
        <v>112</v>
      </c>
      <c r="G4" s="37" t="s">
        <v>113</v>
      </c>
      <c r="H4" s="37" t="s">
        <v>114</v>
      </c>
    </row>
    <row r="5" customFormat="false" ht="19.5" hidden="false" customHeight="true" outlineLevel="0" collapsed="false">
      <c r="B5" s="45" t="s">
        <v>125</v>
      </c>
      <c r="C5" s="45"/>
      <c r="D5" s="45"/>
      <c r="E5" s="45"/>
      <c r="F5" s="45"/>
      <c r="G5" s="45"/>
      <c r="H5" s="45"/>
    </row>
    <row r="6" customFormat="false" ht="21.75" hidden="false" customHeight="true" outlineLevel="0" collapsed="false">
      <c r="B6" s="46" t="s">
        <v>126</v>
      </c>
      <c r="C6" s="47" t="n">
        <f aca="false">'⚙️ Assumptions'!D7*'⚙️ Assumptions'!D32*'⚙️ Assumptions'!D8*'⚙️ Assumptions'!D12</f>
        <v>385000</v>
      </c>
      <c r="D6" s="47" t="n">
        <f aca="false">'⚙️ Assumptions'!D7*'⚙️ Assumptions'!D32*'⚙️ Assumptions'!D8</f>
        <v>770000</v>
      </c>
      <c r="E6" s="47" t="n">
        <f aca="false">'⚙️ Assumptions'!D7*'⚙️ Assumptions'!D32*'⚙️ Assumptions'!D8</f>
        <v>770000</v>
      </c>
      <c r="F6" s="47" t="n">
        <f aca="false">'⚙️ Assumptions'!D7*'⚙️ Assumptions'!D32*'⚙️ Assumptions'!D8</f>
        <v>770000</v>
      </c>
      <c r="G6" s="47" t="n">
        <f aca="false">'⚙️ Assumptions'!D7*'⚙️ Assumptions'!D32*'⚙️ Assumptions'!D8</f>
        <v>770000</v>
      </c>
      <c r="H6" s="48" t="n">
        <f aca="false">SUM(C6:G6)</f>
        <v>3465000</v>
      </c>
    </row>
    <row r="7" customFormat="false" ht="21.75" hidden="false" customHeight="true" outlineLevel="0" collapsed="false">
      <c r="B7" s="40" t="s">
        <v>127</v>
      </c>
      <c r="C7" s="49" t="n">
        <f aca="false">'⚙️ Assumptions'!D7*'⚙️ Assumptions'!D33*'⚙️ Assumptions'!D8*'⚙️ Assumptions'!D12</f>
        <v>440000</v>
      </c>
      <c r="D7" s="49" t="n">
        <f aca="false">'⚙️ Assumptions'!D7*'⚙️ Assumptions'!D33*'⚙️ Assumptions'!D8</f>
        <v>880000</v>
      </c>
      <c r="E7" s="49" t="n">
        <f aca="false">'⚙️ Assumptions'!D7*'⚙️ Assumptions'!D33*'⚙️ Assumptions'!D8</f>
        <v>880000</v>
      </c>
      <c r="F7" s="49" t="n">
        <f aca="false">'⚙️ Assumptions'!D7*'⚙️ Assumptions'!D33*'⚙️ Assumptions'!D8</f>
        <v>880000</v>
      </c>
      <c r="G7" s="49" t="n">
        <f aca="false">'⚙️ Assumptions'!D7*'⚙️ Assumptions'!D33*'⚙️ Assumptions'!D8</f>
        <v>880000</v>
      </c>
      <c r="H7" s="50" t="n">
        <f aca="false">SUM(C7:G7)</f>
        <v>3960000</v>
      </c>
    </row>
    <row r="8" customFormat="false" ht="21.75" hidden="false" customHeight="true" outlineLevel="0" collapsed="false">
      <c r="B8" s="46" t="s">
        <v>128</v>
      </c>
      <c r="C8" s="47" t="n">
        <f aca="false">'⚙️ Assumptions'!D34*12*('⚙️ Assumptions'!D8/250)*'⚙️ Assumptions'!D12</f>
        <v>13200</v>
      </c>
      <c r="D8" s="47" t="n">
        <f aca="false">'⚙️ Assumptions'!D34*12*('⚙️ Assumptions'!D8/250)</f>
        <v>26400</v>
      </c>
      <c r="E8" s="47" t="n">
        <f aca="false">'⚙️ Assumptions'!D34*12*('⚙️ Assumptions'!D8/250)</f>
        <v>26400</v>
      </c>
      <c r="F8" s="47" t="n">
        <f aca="false">'⚙️ Assumptions'!D34*12*('⚙️ Assumptions'!D8/250)</f>
        <v>26400</v>
      </c>
      <c r="G8" s="47" t="n">
        <f aca="false">'⚙️ Assumptions'!D34*12*('⚙️ Assumptions'!D8/250)</f>
        <v>26400</v>
      </c>
      <c r="H8" s="48" t="n">
        <f aca="false">SUM(C8:G8)</f>
        <v>118800</v>
      </c>
    </row>
    <row r="9" customFormat="false" ht="21.75" hidden="false" customHeight="true" outlineLevel="0" collapsed="false">
      <c r="B9" s="40" t="s">
        <v>129</v>
      </c>
      <c r="C9" s="49" t="n">
        <f aca="false">'⚙️ Assumptions'!D26*'⚙️ Assumptions'!D35*'⚙️ Assumptions'!D12</f>
        <v>14300</v>
      </c>
      <c r="D9" s="49" t="n">
        <f aca="false">'⚙️ Assumptions'!D26*'⚙️ Assumptions'!D35</f>
        <v>28600</v>
      </c>
      <c r="E9" s="49" t="n">
        <f aca="false">'⚙️ Assumptions'!D26*'⚙️ Assumptions'!D35</f>
        <v>28600</v>
      </c>
      <c r="F9" s="49" t="n">
        <f aca="false">'⚙️ Assumptions'!D26*'⚙️ Assumptions'!D35</f>
        <v>28600</v>
      </c>
      <c r="G9" s="49" t="n">
        <f aca="false">'⚙️ Assumptions'!D26*'⚙️ Assumptions'!D35</f>
        <v>28600</v>
      </c>
      <c r="H9" s="50" t="n">
        <f aca="false">SUM(C9:G9)</f>
        <v>128700</v>
      </c>
    </row>
    <row r="10" customFormat="false" ht="21.75" hidden="false" customHeight="true" outlineLevel="0" collapsed="false">
      <c r="B10" s="46" t="s">
        <v>130</v>
      </c>
      <c r="C10" s="47" t="n">
        <f aca="false">'⚙️ Assumptions'!D7*'⚙️ Assumptions'!D36*'⚙️ Assumptions'!D8*'⚙️ Assumptions'!D12</f>
        <v>247500</v>
      </c>
      <c r="D10" s="47" t="n">
        <f aca="false">'⚙️ Assumptions'!D7*'⚙️ Assumptions'!D36*'⚙️ Assumptions'!D8</f>
        <v>495000</v>
      </c>
      <c r="E10" s="47" t="n">
        <f aca="false">'⚙️ Assumptions'!D7*'⚙️ Assumptions'!D36*'⚙️ Assumptions'!D8</f>
        <v>495000</v>
      </c>
      <c r="F10" s="47" t="n">
        <f aca="false">'⚙️ Assumptions'!D7*'⚙️ Assumptions'!D36*'⚙️ Assumptions'!D8</f>
        <v>495000</v>
      </c>
      <c r="G10" s="47" t="n">
        <f aca="false">'⚙️ Assumptions'!D7*'⚙️ Assumptions'!D36*'⚙️ Assumptions'!D8</f>
        <v>495000</v>
      </c>
      <c r="H10" s="48" t="n">
        <f aca="false">SUM(C10:G10)</f>
        <v>2227500</v>
      </c>
    </row>
    <row r="11" customFormat="false" ht="27.75" hidden="false" customHeight="true" outlineLevel="0" collapsed="false">
      <c r="B11" s="51" t="s">
        <v>131</v>
      </c>
      <c r="C11" s="52" t="n">
        <f aca="false">SUM(C6:C10)</f>
        <v>1100000</v>
      </c>
      <c r="D11" s="52" t="n">
        <f aca="false">SUM(D6:D10)</f>
        <v>2200000</v>
      </c>
      <c r="E11" s="52" t="n">
        <f aca="false">SUM(E6:E10)</f>
        <v>2200000</v>
      </c>
      <c r="F11" s="52" t="n">
        <f aca="false">SUM(F6:F10)</f>
        <v>2200000</v>
      </c>
      <c r="G11" s="52" t="n">
        <f aca="false">SUM(G6:G10)</f>
        <v>2200000</v>
      </c>
      <c r="H11" s="52" t="n">
        <f aca="false">SUM(H6:H10)</f>
        <v>9900000</v>
      </c>
    </row>
    <row r="12" customFormat="false" ht="7.5" hidden="false" customHeight="true" outlineLevel="0" collapsed="false"/>
    <row r="13" customFormat="false" ht="19.5" hidden="false" customHeight="true" outlineLevel="0" collapsed="false">
      <c r="B13" s="53" t="s">
        <v>132</v>
      </c>
      <c r="C13" s="53"/>
      <c r="D13" s="53"/>
      <c r="E13" s="53"/>
      <c r="F13" s="53"/>
      <c r="G13" s="53"/>
      <c r="H13" s="53"/>
    </row>
    <row r="14" customFormat="false" ht="21.75" hidden="false" customHeight="true" outlineLevel="0" collapsed="false">
      <c r="B14" s="29" t="s">
        <v>133</v>
      </c>
      <c r="C14" s="54" t="n">
        <f aca="false">'⚙️ Assumptions'!D6*'⚙️ Assumptions'!D40*'⚙️ Assumptions'!D12</f>
        <v>325000</v>
      </c>
      <c r="D14" s="54" t="n">
        <f aca="false">'⚙️ Assumptions'!D6*'⚙️ Assumptions'!D40</f>
        <v>650000</v>
      </c>
      <c r="E14" s="54" t="n">
        <f aca="false">'⚙️ Assumptions'!D6*'⚙️ Assumptions'!D40</f>
        <v>650000</v>
      </c>
      <c r="F14" s="54" t="n">
        <f aca="false">'⚙️ Assumptions'!D6*'⚙️ Assumptions'!D40</f>
        <v>650000</v>
      </c>
      <c r="G14" s="54" t="n">
        <f aca="false">'⚙️ Assumptions'!D6*'⚙️ Assumptions'!D40</f>
        <v>650000</v>
      </c>
      <c r="H14" s="55" t="n">
        <f aca="false">SUM(C14:G14)</f>
        <v>2925000</v>
      </c>
    </row>
    <row r="15" customFormat="false" ht="21.75" hidden="false" customHeight="true" outlineLevel="0" collapsed="false">
      <c r="B15" s="40" t="s">
        <v>134</v>
      </c>
      <c r="C15" s="56" t="n">
        <f aca="false">'⚙️ Assumptions'!D6*'⚙️ Assumptions'!D41*'⚙️ Assumptions'!D12</f>
        <v>227500</v>
      </c>
      <c r="D15" s="56" t="n">
        <f aca="false">'⚙️ Assumptions'!D6*'⚙️ Assumptions'!D41</f>
        <v>455000</v>
      </c>
      <c r="E15" s="56" t="n">
        <f aca="false">'⚙️ Assumptions'!D6*'⚙️ Assumptions'!D41</f>
        <v>455000</v>
      </c>
      <c r="F15" s="56" t="n">
        <f aca="false">'⚙️ Assumptions'!D6*'⚙️ Assumptions'!D41</f>
        <v>455000</v>
      </c>
      <c r="G15" s="56" t="n">
        <f aca="false">'⚙️ Assumptions'!D6*'⚙️ Assumptions'!D41</f>
        <v>455000</v>
      </c>
      <c r="H15" s="57" t="n">
        <f aca="false">SUM(C15:G15)</f>
        <v>2047500</v>
      </c>
    </row>
    <row r="16" customFormat="false" ht="21.75" hidden="false" customHeight="true" outlineLevel="0" collapsed="false">
      <c r="B16" s="29" t="s">
        <v>135</v>
      </c>
      <c r="C16" s="54" t="n">
        <f aca="false">'⚙️ Assumptions'!D6/365*'⚙️ Assumptions'!D42*'⚙️ Assumptions'!D10*'⚙️ Assumptions'!D12</f>
        <v>53424.6575342466</v>
      </c>
      <c r="D16" s="54" t="n">
        <f aca="false">'⚙️ Assumptions'!D6/365*'⚙️ Assumptions'!D42*'⚙️ Assumptions'!D10</f>
        <v>106849.315068493</v>
      </c>
      <c r="E16" s="54" t="n">
        <f aca="false">'⚙️ Assumptions'!D6/365*'⚙️ Assumptions'!D42*'⚙️ Assumptions'!D10</f>
        <v>106849.315068493</v>
      </c>
      <c r="F16" s="54" t="n">
        <f aca="false">'⚙️ Assumptions'!D6/365*'⚙️ Assumptions'!D42*'⚙️ Assumptions'!D10</f>
        <v>106849.315068493</v>
      </c>
      <c r="G16" s="54" t="n">
        <f aca="false">'⚙️ Assumptions'!D6/365*'⚙️ Assumptions'!D42*'⚙️ Assumptions'!D10</f>
        <v>106849.315068493</v>
      </c>
      <c r="H16" s="55" t="n">
        <f aca="false">SUM(C16:G16)</f>
        <v>480821.917808219</v>
      </c>
    </row>
    <row r="17" customFormat="false" ht="27.75" hidden="false" customHeight="true" outlineLevel="0" collapsed="false">
      <c r="B17" s="58" t="s">
        <v>136</v>
      </c>
      <c r="C17" s="59" t="n">
        <f aca="false">SUM(C14:C16)</f>
        <v>605924.657534247</v>
      </c>
      <c r="D17" s="59" t="n">
        <f aca="false">SUM(D14:D16)</f>
        <v>1211849.31506849</v>
      </c>
      <c r="E17" s="59" t="n">
        <f aca="false">SUM(E14:E16)</f>
        <v>1211849.31506849</v>
      </c>
      <c r="F17" s="59" t="n">
        <f aca="false">SUM(F14:F16)</f>
        <v>1211849.31506849</v>
      </c>
      <c r="G17" s="59" t="n">
        <f aca="false">SUM(G14:G16)</f>
        <v>1211849.31506849</v>
      </c>
      <c r="H17" s="59" t="n">
        <f aca="false">SUM(H14:H16)</f>
        <v>5453321.91780822</v>
      </c>
    </row>
    <row r="18" customFormat="false" ht="7.5" hidden="false" customHeight="true" outlineLevel="0" collapsed="false"/>
    <row r="19" customFormat="false" ht="19.5" hidden="false" customHeight="true" outlineLevel="0" collapsed="false">
      <c r="B19" s="60" t="s">
        <v>137</v>
      </c>
      <c r="C19" s="60"/>
      <c r="D19" s="60"/>
      <c r="E19" s="60"/>
      <c r="F19" s="60"/>
      <c r="G19" s="60"/>
      <c r="H19" s="60"/>
    </row>
    <row r="20" customFormat="false" ht="21.75" hidden="false" customHeight="true" outlineLevel="0" collapsed="false">
      <c r="B20" s="26" t="s">
        <v>138</v>
      </c>
      <c r="C20" s="61" t="n">
        <f aca="false">'⚙️ Assumptions'!D46*'⚙️ Assumptions'!D12</f>
        <v>22500</v>
      </c>
      <c r="D20" s="61" t="n">
        <f aca="false">'⚙️ Assumptions'!D46</f>
        <v>45000</v>
      </c>
      <c r="E20" s="61" t="n">
        <f aca="false">'⚙️ Assumptions'!D46</f>
        <v>45000</v>
      </c>
      <c r="F20" s="61" t="n">
        <f aca="false">'⚙️ Assumptions'!D46</f>
        <v>45000</v>
      </c>
      <c r="G20" s="61" t="n">
        <f aca="false">'⚙️ Assumptions'!D46</f>
        <v>45000</v>
      </c>
      <c r="H20" s="62" t="n">
        <f aca="false">SUM(C20:G20)</f>
        <v>202500</v>
      </c>
    </row>
    <row r="21" customFormat="false" ht="21.75" hidden="false" customHeight="true" outlineLevel="0" collapsed="false">
      <c r="B21" s="40" t="s">
        <v>139</v>
      </c>
      <c r="C21" s="63" t="n">
        <f aca="false">'⚙️ Assumptions'!D47*'⚙️ Assumptions'!D12</f>
        <v>20000</v>
      </c>
      <c r="D21" s="63" t="n">
        <f aca="false">'⚙️ Assumptions'!D47</f>
        <v>40000</v>
      </c>
      <c r="E21" s="63" t="n">
        <f aca="false">'⚙️ Assumptions'!D47</f>
        <v>40000</v>
      </c>
      <c r="F21" s="63" t="n">
        <f aca="false">'⚙️ Assumptions'!D47</f>
        <v>40000</v>
      </c>
      <c r="G21" s="63" t="n">
        <f aca="false">'⚙️ Assumptions'!D47</f>
        <v>40000</v>
      </c>
      <c r="H21" s="64" t="n">
        <f aca="false">SUM(C21:G21)</f>
        <v>180000</v>
      </c>
    </row>
    <row r="22" customFormat="false" ht="21.75" hidden="false" customHeight="true" outlineLevel="0" collapsed="false">
      <c r="B22" s="26" t="s">
        <v>140</v>
      </c>
      <c r="C22" s="61" t="n">
        <f aca="false">'⚙️ Assumptions'!D48*'⚙️ Assumptions'!D12</f>
        <v>14000</v>
      </c>
      <c r="D22" s="61" t="n">
        <f aca="false">'⚙️ Assumptions'!D48</f>
        <v>28000</v>
      </c>
      <c r="E22" s="61" t="n">
        <f aca="false">'⚙️ Assumptions'!D48</f>
        <v>28000</v>
      </c>
      <c r="F22" s="61" t="n">
        <f aca="false">'⚙️ Assumptions'!D48</f>
        <v>28000</v>
      </c>
      <c r="G22" s="61" t="n">
        <f aca="false">'⚙️ Assumptions'!D48</f>
        <v>28000</v>
      </c>
      <c r="H22" s="62" t="n">
        <f aca="false">SUM(C22:G22)</f>
        <v>126000</v>
      </c>
    </row>
    <row r="23" customFormat="false" ht="21.75" hidden="false" customHeight="true" outlineLevel="0" collapsed="false">
      <c r="B23" s="40" t="s">
        <v>141</v>
      </c>
      <c r="C23" s="63" t="n">
        <f aca="false">'⚙️ Assumptions'!D49*'⚙️ Assumptions'!D12</f>
        <v>7000</v>
      </c>
      <c r="D23" s="63" t="n">
        <f aca="false">'⚙️ Assumptions'!D49</f>
        <v>14000</v>
      </c>
      <c r="E23" s="63" t="n">
        <f aca="false">'⚙️ Assumptions'!D49</f>
        <v>14000</v>
      </c>
      <c r="F23" s="63" t="n">
        <f aca="false">'⚙️ Assumptions'!D49</f>
        <v>14000</v>
      </c>
      <c r="G23" s="63" t="n">
        <f aca="false">'⚙️ Assumptions'!D49</f>
        <v>14000</v>
      </c>
      <c r="H23" s="64" t="n">
        <f aca="false">SUM(C23:G23)</f>
        <v>63000</v>
      </c>
    </row>
    <row r="24" customFormat="false" ht="27.75" hidden="false" customHeight="true" outlineLevel="0" collapsed="false">
      <c r="B24" s="65" t="s">
        <v>142</v>
      </c>
      <c r="C24" s="66" t="n">
        <f aca="false">SUM(C20:C23)</f>
        <v>63500</v>
      </c>
      <c r="D24" s="66" t="n">
        <f aca="false">SUM(D20:D23)</f>
        <v>127000</v>
      </c>
      <c r="E24" s="66" t="n">
        <f aca="false">SUM(E20:E23)</f>
        <v>127000</v>
      </c>
      <c r="F24" s="66" t="n">
        <f aca="false">SUM(F20:F23)</f>
        <v>127000</v>
      </c>
      <c r="G24" s="66" t="n">
        <f aca="false">SUM(G20:G23)</f>
        <v>127000</v>
      </c>
      <c r="H24" s="66" t="n">
        <f aca="false">SUM(H20:H23)</f>
        <v>571500</v>
      </c>
    </row>
    <row r="25" customFormat="false" ht="7.5" hidden="false" customHeight="true" outlineLevel="0" collapsed="false"/>
    <row r="26" customFormat="false" ht="30" hidden="false" customHeight="true" outlineLevel="0" collapsed="false">
      <c r="B26" s="67" t="s">
        <v>143</v>
      </c>
      <c r="C26" s="35" t="n">
        <f aca="false">C11+C17+C24</f>
        <v>1769424.65753425</v>
      </c>
      <c r="D26" s="35" t="n">
        <f aca="false">D11+D17+D24</f>
        <v>3538849.31506849</v>
      </c>
      <c r="E26" s="35" t="n">
        <f aca="false">E11+E17+E24</f>
        <v>3538849.31506849</v>
      </c>
      <c r="F26" s="35" t="n">
        <f aca="false">F11+F17+F24</f>
        <v>3538849.31506849</v>
      </c>
      <c r="G26" s="35" t="n">
        <f aca="false">G11+G17+G24</f>
        <v>3538849.31506849</v>
      </c>
      <c r="H26" s="35" t="n">
        <f aca="false">H11+H17+H24</f>
        <v>15924821.9178082</v>
      </c>
    </row>
  </sheetData>
  <mergeCells count="5">
    <mergeCell ref="B1:H1"/>
    <mergeCell ref="B2:H2"/>
    <mergeCell ref="B5:H5"/>
    <mergeCell ref="B13:H13"/>
    <mergeCell ref="B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44210"/>
    <pageSetUpPr fitToPage="false"/>
  </sheetPr>
  <dimension ref="B1:H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0"/>
    <col collapsed="false" customWidth="true" hidden="false" outlineLevel="0" max="8" min="3" style="0" width="14"/>
    <col collapsed="false" customWidth="true" hidden="false" outlineLevel="0" max="9" min="9" style="0" width="4"/>
  </cols>
  <sheetData>
    <row r="1" customFormat="false" ht="31.5" hidden="false" customHeight="true" outlineLevel="0" collapsed="false">
      <c r="B1" s="22" t="s">
        <v>144</v>
      </c>
      <c r="C1" s="22"/>
      <c r="D1" s="22"/>
      <c r="E1" s="22"/>
      <c r="F1" s="22"/>
      <c r="G1" s="22"/>
      <c r="H1" s="22"/>
    </row>
    <row r="2" customFormat="false" ht="15.75" hidden="false" customHeight="true" outlineLevel="0" collapsed="false">
      <c r="B2" s="23" t="s">
        <v>145</v>
      </c>
      <c r="C2" s="23"/>
      <c r="D2" s="23"/>
      <c r="E2" s="23"/>
      <c r="F2" s="23"/>
      <c r="G2" s="23"/>
      <c r="H2" s="23"/>
    </row>
    <row r="3" customFormat="false" ht="7.5" hidden="false" customHeight="true" outlineLevel="0" collapsed="false"/>
    <row r="4" customFormat="false" ht="19.5" hidden="false" customHeight="true" outlineLevel="0" collapsed="false">
      <c r="B4" s="68" t="s">
        <v>146</v>
      </c>
      <c r="C4" s="68"/>
      <c r="D4" s="68"/>
      <c r="E4" s="68"/>
      <c r="F4" s="68"/>
      <c r="G4" s="68"/>
      <c r="H4" s="68"/>
    </row>
    <row r="5" customFormat="false" ht="21.75" hidden="false" customHeight="true" outlineLevel="0" collapsed="false">
      <c r="B5" s="36" t="s">
        <v>147</v>
      </c>
      <c r="C5" s="37" t="s">
        <v>109</v>
      </c>
      <c r="D5" s="37" t="s">
        <v>110</v>
      </c>
      <c r="E5" s="37" t="s">
        <v>111</v>
      </c>
      <c r="F5" s="37" t="s">
        <v>112</v>
      </c>
      <c r="G5" s="37" t="s">
        <v>113</v>
      </c>
      <c r="H5" s="37" t="s">
        <v>114</v>
      </c>
    </row>
    <row r="6" customFormat="false" ht="21.75" hidden="false" customHeight="true" outlineLevel="0" collapsed="false">
      <c r="B6" s="69" t="s">
        <v>148</v>
      </c>
      <c r="C6" s="70" t="n">
        <f aca="false">'📈 Benefit Model'!C26*0.7</f>
        <v>1238597.26027397</v>
      </c>
      <c r="D6" s="70" t="n">
        <f aca="false">'📈 Benefit Model'!D26*0.7</f>
        <v>2477194.52054795</v>
      </c>
      <c r="E6" s="70" t="n">
        <f aca="false">'📈 Benefit Model'!E26*0.7</f>
        <v>2477194.52054795</v>
      </c>
      <c r="F6" s="70" t="n">
        <f aca="false">'📈 Benefit Model'!F26*0.7</f>
        <v>2477194.52054795</v>
      </c>
      <c r="G6" s="70" t="n">
        <f aca="false">'📈 Benefit Model'!G26*0.7</f>
        <v>2477194.52054795</v>
      </c>
      <c r="H6" s="70" t="n">
        <f aca="false">SUM(C6:G6)</f>
        <v>11147375.3424658</v>
      </c>
    </row>
    <row r="7" customFormat="false" ht="21.75" hidden="false" customHeight="true" outlineLevel="0" collapsed="false">
      <c r="B7" s="69" t="s">
        <v>149</v>
      </c>
      <c r="C7" s="71" t="n">
        <f aca="false">-'💰 Cost Model'!C10*1.05</f>
        <v>-2887500</v>
      </c>
      <c r="D7" s="71" t="n">
        <f aca="false">-'💰 Cost Model'!D10*1.05</f>
        <v>-456750</v>
      </c>
      <c r="E7" s="71" t="n">
        <f aca="false">-'💰 Cost Model'!E10*1.05</f>
        <v>-456750</v>
      </c>
      <c r="F7" s="71" t="n">
        <f aca="false">-'💰 Cost Model'!F10*1.05</f>
        <v>-456750</v>
      </c>
      <c r="G7" s="71" t="n">
        <f aca="false">-'💰 Cost Model'!G10*1.05</f>
        <v>-456750</v>
      </c>
      <c r="H7" s="71" t="n">
        <f aca="false">SUM(C7:G7)</f>
        <v>-4714500</v>
      </c>
    </row>
    <row r="8" customFormat="false" ht="25.5" hidden="false" customHeight="true" outlineLevel="0" collapsed="false">
      <c r="B8" s="72" t="s">
        <v>150</v>
      </c>
      <c r="C8" s="73" t="n">
        <f aca="false">C6+C7</f>
        <v>-1648902.73972603</v>
      </c>
      <c r="D8" s="73" t="n">
        <f aca="false">D6+D7</f>
        <v>2020444.52054795</v>
      </c>
      <c r="E8" s="73" t="n">
        <f aca="false">E6+E7</f>
        <v>2020444.52054795</v>
      </c>
      <c r="F8" s="73" t="n">
        <f aca="false">F6+F7</f>
        <v>2020444.52054795</v>
      </c>
      <c r="G8" s="73" t="n">
        <f aca="false">G6+G7</f>
        <v>2020444.52054795</v>
      </c>
      <c r="H8" s="74" t="n">
        <f aca="false">SUM(C8:G8)</f>
        <v>6432875.34246575</v>
      </c>
    </row>
    <row r="9" customFormat="false" ht="21.75" hidden="false" customHeight="true" outlineLevel="0" collapsed="false">
      <c r="B9" s="75" t="s">
        <v>151</v>
      </c>
      <c r="C9" s="76" t="n">
        <f aca="false">C8</f>
        <v>-1648902.73972603</v>
      </c>
      <c r="D9" s="76" t="n">
        <f aca="false">C9+D8</f>
        <v>371541.780821918</v>
      </c>
      <c r="E9" s="76" t="n">
        <f aca="false">D9+E8</f>
        <v>2391986.30136986</v>
      </c>
      <c r="F9" s="76" t="n">
        <f aca="false">E9+F8</f>
        <v>4412430.82191781</v>
      </c>
      <c r="G9" s="76" t="n">
        <f aca="false">F9+G8</f>
        <v>6432875.34246575</v>
      </c>
      <c r="H9" s="77"/>
    </row>
    <row r="10" customFormat="false" ht="24" hidden="false" customHeight="true" outlineLevel="0" collapsed="false">
      <c r="B10" s="69" t="s">
        <v>152</v>
      </c>
      <c r="C10" s="78" t="n">
        <f aca="false">IFERROR(NPV('⚙️ Assumptions'!D10,C8:G8),0)</f>
        <v>4323304.12020424</v>
      </c>
      <c r="D10" s="79" t="s">
        <v>153</v>
      </c>
      <c r="E10" s="79"/>
      <c r="F10" s="79"/>
      <c r="G10" s="79"/>
      <c r="H10" s="79"/>
    </row>
    <row r="11" customFormat="false" ht="24" hidden="false" customHeight="true" outlineLevel="0" collapsed="false">
      <c r="B11" s="69" t="s">
        <v>154</v>
      </c>
      <c r="C11" s="80" t="n">
        <f aca="false">IFERROR(IRR(C8:G8,0.1),0)</f>
        <v>1.17007394852253</v>
      </c>
      <c r="D11" s="79" t="s">
        <v>155</v>
      </c>
      <c r="E11" s="79"/>
      <c r="F11" s="79"/>
      <c r="G11" s="79"/>
      <c r="H11" s="79"/>
    </row>
    <row r="12" customFormat="false" ht="24" hidden="false" customHeight="true" outlineLevel="0" collapsed="false">
      <c r="B12" s="69" t="s">
        <v>156</v>
      </c>
      <c r="C12" s="81" t="n">
        <f aca="false">IFERROR(MATCH(0,C9:G9,1)+INDEX(C9:G9,MATCH(0,C9:G9,1))/ABS(INDEX(C9:G9,MATCH(0,C9:G9,1))-INDEX(C9:G9,MATCH(0,C9:G9,1)+1)),5)</f>
        <v>0.183891107646527</v>
      </c>
      <c r="D12" s="79" t="s">
        <v>157</v>
      </c>
      <c r="E12" s="79"/>
      <c r="F12" s="79"/>
      <c r="G12" s="79"/>
      <c r="H12" s="79"/>
    </row>
    <row r="13" customFormat="false" ht="24" hidden="false" customHeight="true" outlineLevel="0" collapsed="false">
      <c r="B13" s="69" t="s">
        <v>158</v>
      </c>
      <c r="C13" s="80" t="n">
        <f aca="false">IFERROR((H6+H7)/ABS(H7),0)</f>
        <v>1.36448729291882</v>
      </c>
      <c r="D13" s="79" t="s">
        <v>159</v>
      </c>
      <c r="E13" s="79"/>
      <c r="F13" s="79"/>
      <c r="G13" s="79"/>
      <c r="H13" s="79"/>
    </row>
    <row r="14" customFormat="false" ht="9.75" hidden="false" customHeight="true" outlineLevel="0" collapsed="false"/>
    <row r="15" customFormat="false" ht="19.5" hidden="false" customHeight="true" outlineLevel="0" collapsed="false">
      <c r="B15" s="45" t="s">
        <v>160</v>
      </c>
      <c r="C15" s="45"/>
      <c r="D15" s="45"/>
      <c r="E15" s="45"/>
      <c r="F15" s="45"/>
      <c r="G15" s="45"/>
      <c r="H15" s="45"/>
    </row>
    <row r="16" customFormat="false" ht="21.75" hidden="false" customHeight="true" outlineLevel="0" collapsed="false">
      <c r="B16" s="36" t="s">
        <v>147</v>
      </c>
      <c r="C16" s="37" t="s">
        <v>109</v>
      </c>
      <c r="D16" s="37" t="s">
        <v>110</v>
      </c>
      <c r="E16" s="37" t="s">
        <v>111</v>
      </c>
      <c r="F16" s="37" t="s">
        <v>112</v>
      </c>
      <c r="G16" s="37" t="s">
        <v>113</v>
      </c>
      <c r="H16" s="37" t="s">
        <v>114</v>
      </c>
    </row>
    <row r="17" customFormat="false" ht="21.75" hidden="false" customHeight="true" outlineLevel="0" collapsed="false">
      <c r="B17" s="82" t="s">
        <v>148</v>
      </c>
      <c r="C17" s="83" t="n">
        <f aca="false">'📈 Benefit Model'!C26*1</f>
        <v>1769424.65753425</v>
      </c>
      <c r="D17" s="83" t="n">
        <f aca="false">'📈 Benefit Model'!D26*1</f>
        <v>3538849.31506849</v>
      </c>
      <c r="E17" s="83" t="n">
        <f aca="false">'📈 Benefit Model'!E26*1</f>
        <v>3538849.31506849</v>
      </c>
      <c r="F17" s="83" t="n">
        <f aca="false">'📈 Benefit Model'!F26*1</f>
        <v>3538849.31506849</v>
      </c>
      <c r="G17" s="83" t="n">
        <f aca="false">'📈 Benefit Model'!G26*1</f>
        <v>3538849.31506849</v>
      </c>
      <c r="H17" s="83" t="n">
        <f aca="false">SUM(C17:G17)</f>
        <v>15924821.9178082</v>
      </c>
    </row>
    <row r="18" customFormat="false" ht="21.75" hidden="false" customHeight="true" outlineLevel="0" collapsed="false">
      <c r="B18" s="82" t="s">
        <v>149</v>
      </c>
      <c r="C18" s="84" t="n">
        <f aca="false">-'💰 Cost Model'!C10*1</f>
        <v>-2750000</v>
      </c>
      <c r="D18" s="84" t="n">
        <f aca="false">-'💰 Cost Model'!D10*1</f>
        <v>-435000</v>
      </c>
      <c r="E18" s="84" t="n">
        <f aca="false">-'💰 Cost Model'!E10*1</f>
        <v>-435000</v>
      </c>
      <c r="F18" s="84" t="n">
        <f aca="false">-'💰 Cost Model'!F10*1</f>
        <v>-435000</v>
      </c>
      <c r="G18" s="84" t="n">
        <f aca="false">-'💰 Cost Model'!G10*1</f>
        <v>-435000</v>
      </c>
      <c r="H18" s="84" t="n">
        <f aca="false">SUM(C18:G18)</f>
        <v>-4490000</v>
      </c>
    </row>
    <row r="19" customFormat="false" ht="25.5" hidden="false" customHeight="true" outlineLevel="0" collapsed="false">
      <c r="B19" s="85" t="s">
        <v>150</v>
      </c>
      <c r="C19" s="86" t="n">
        <f aca="false">C17+C18</f>
        <v>-980575.342465753</v>
      </c>
      <c r="D19" s="86" t="n">
        <f aca="false">D17+D18</f>
        <v>3103849.31506849</v>
      </c>
      <c r="E19" s="86" t="n">
        <f aca="false">E17+E18</f>
        <v>3103849.31506849</v>
      </c>
      <c r="F19" s="86" t="n">
        <f aca="false">F17+F18</f>
        <v>3103849.31506849</v>
      </c>
      <c r="G19" s="86" t="n">
        <f aca="false">G17+G18</f>
        <v>3103849.31506849</v>
      </c>
      <c r="H19" s="87" t="n">
        <f aca="false">SUM(C19:G19)</f>
        <v>11434821.9178082</v>
      </c>
    </row>
    <row r="20" customFormat="false" ht="21.75" hidden="false" customHeight="true" outlineLevel="0" collapsed="false">
      <c r="B20" s="88" t="s">
        <v>151</v>
      </c>
      <c r="C20" s="89" t="n">
        <f aca="false">C19</f>
        <v>-980575.342465753</v>
      </c>
      <c r="D20" s="89" t="n">
        <f aca="false">C20+D19</f>
        <v>2123273.97260274</v>
      </c>
      <c r="E20" s="89" t="n">
        <f aca="false">D20+E19</f>
        <v>5227123.28767123</v>
      </c>
      <c r="F20" s="89" t="n">
        <f aca="false">E20+F19</f>
        <v>8330972.60273973</v>
      </c>
      <c r="G20" s="89" t="n">
        <f aca="false">F20+G19</f>
        <v>11434821.9178082</v>
      </c>
      <c r="H20" s="90"/>
    </row>
    <row r="21" customFormat="false" ht="24" hidden="false" customHeight="true" outlineLevel="0" collapsed="false">
      <c r="B21" s="82" t="s">
        <v>152</v>
      </c>
      <c r="C21" s="91" t="n">
        <f aca="false">IFERROR(NPV('⚙️ Assumptions'!D10,C19:G19),0)</f>
        <v>8052917.59276798</v>
      </c>
      <c r="D21" s="92" t="s">
        <v>153</v>
      </c>
      <c r="E21" s="92"/>
      <c r="F21" s="92"/>
      <c r="G21" s="92"/>
      <c r="H21" s="92"/>
    </row>
    <row r="22" customFormat="false" ht="24" hidden="false" customHeight="true" outlineLevel="0" collapsed="false">
      <c r="B22" s="82" t="s">
        <v>154</v>
      </c>
      <c r="C22" s="93" t="n">
        <f aca="false">IFERROR(IRR(C19:G19,0.1),0)</f>
        <v>3.15471164224978</v>
      </c>
      <c r="D22" s="92" t="s">
        <v>155</v>
      </c>
      <c r="E22" s="92"/>
      <c r="F22" s="92"/>
      <c r="G22" s="92"/>
      <c r="H22" s="92"/>
    </row>
    <row r="23" customFormat="false" ht="24" hidden="false" customHeight="true" outlineLevel="0" collapsed="false">
      <c r="B23" s="82" t="s">
        <v>156</v>
      </c>
      <c r="C23" s="94" t="n">
        <f aca="false">IFERROR(MATCH(0,C20:G20,1)+INDEX(C20:G20,MATCH(0,C20:G20,1))/ABS(INDEX(C20:G20,MATCH(0,C20:G20,1))-INDEX(C20:G20,MATCH(0,C20:G20,1)+1)),5)</f>
        <v>0.684077658762209</v>
      </c>
      <c r="D23" s="92" t="s">
        <v>157</v>
      </c>
      <c r="E23" s="92"/>
      <c r="F23" s="92"/>
      <c r="G23" s="92"/>
      <c r="H23" s="92"/>
    </row>
    <row r="24" customFormat="false" ht="24" hidden="false" customHeight="true" outlineLevel="0" collapsed="false">
      <c r="B24" s="82" t="s">
        <v>158</v>
      </c>
      <c r="C24" s="93" t="n">
        <f aca="false">IFERROR((H17+H18)/ABS(H18),0)</f>
        <v>2.54673093937822</v>
      </c>
      <c r="D24" s="92" t="s">
        <v>159</v>
      </c>
      <c r="E24" s="92"/>
      <c r="F24" s="92"/>
      <c r="G24" s="92"/>
      <c r="H24" s="92"/>
    </row>
    <row r="25" customFormat="false" ht="9.75" hidden="false" customHeight="true" outlineLevel="0" collapsed="false"/>
    <row r="26" customFormat="false" ht="19.5" hidden="false" customHeight="true" outlineLevel="0" collapsed="false">
      <c r="B26" s="53" t="s">
        <v>161</v>
      </c>
      <c r="C26" s="53"/>
      <c r="D26" s="53"/>
      <c r="E26" s="53"/>
      <c r="F26" s="53"/>
      <c r="G26" s="53"/>
      <c r="H26" s="53"/>
    </row>
    <row r="27" customFormat="false" ht="21.75" hidden="false" customHeight="true" outlineLevel="0" collapsed="false">
      <c r="B27" s="36" t="s">
        <v>147</v>
      </c>
      <c r="C27" s="37" t="s">
        <v>109</v>
      </c>
      <c r="D27" s="37" t="s">
        <v>110</v>
      </c>
      <c r="E27" s="37" t="s">
        <v>111</v>
      </c>
      <c r="F27" s="37" t="s">
        <v>112</v>
      </c>
      <c r="G27" s="37" t="s">
        <v>113</v>
      </c>
      <c r="H27" s="37" t="s">
        <v>114</v>
      </c>
    </row>
    <row r="28" customFormat="false" ht="21.75" hidden="false" customHeight="true" outlineLevel="0" collapsed="false">
      <c r="B28" s="95" t="s">
        <v>148</v>
      </c>
      <c r="C28" s="96" t="n">
        <f aca="false">'📈 Benefit Model'!C26*1.3</f>
        <v>2300252.05479452</v>
      </c>
      <c r="D28" s="96" t="n">
        <f aca="false">'📈 Benefit Model'!D26*1.3</f>
        <v>4600504.10958904</v>
      </c>
      <c r="E28" s="96" t="n">
        <f aca="false">'📈 Benefit Model'!E26*1.3</f>
        <v>4600504.10958904</v>
      </c>
      <c r="F28" s="96" t="n">
        <f aca="false">'📈 Benefit Model'!F26*1.3</f>
        <v>4600504.10958904</v>
      </c>
      <c r="G28" s="96" t="n">
        <f aca="false">'📈 Benefit Model'!G26*1.3</f>
        <v>4600504.10958904</v>
      </c>
      <c r="H28" s="96" t="n">
        <f aca="false">SUM(C28:G28)</f>
        <v>20702268.4931507</v>
      </c>
    </row>
    <row r="29" customFormat="false" ht="21.75" hidden="false" customHeight="true" outlineLevel="0" collapsed="false">
      <c r="B29" s="95" t="s">
        <v>149</v>
      </c>
      <c r="C29" s="97" t="n">
        <f aca="false">-'💰 Cost Model'!C10*0.95</f>
        <v>-2612500</v>
      </c>
      <c r="D29" s="97" t="n">
        <f aca="false">-'💰 Cost Model'!D10*0.95</f>
        <v>-413250</v>
      </c>
      <c r="E29" s="97" t="n">
        <f aca="false">-'💰 Cost Model'!E10*0.95</f>
        <v>-413250</v>
      </c>
      <c r="F29" s="97" t="n">
        <f aca="false">-'💰 Cost Model'!F10*0.95</f>
        <v>-413250</v>
      </c>
      <c r="G29" s="97" t="n">
        <f aca="false">-'💰 Cost Model'!G10*0.95</f>
        <v>-413250</v>
      </c>
      <c r="H29" s="97" t="n">
        <f aca="false">SUM(C29:G29)</f>
        <v>-4265500</v>
      </c>
    </row>
    <row r="30" customFormat="false" ht="25.5" hidden="false" customHeight="true" outlineLevel="0" collapsed="false">
      <c r="B30" s="98" t="s">
        <v>150</v>
      </c>
      <c r="C30" s="99" t="n">
        <f aca="false">C28+C29</f>
        <v>-312247.945205479</v>
      </c>
      <c r="D30" s="99" t="n">
        <f aca="false">D28+D29</f>
        <v>4187254.10958904</v>
      </c>
      <c r="E30" s="99" t="n">
        <f aca="false">E28+E29</f>
        <v>4187254.10958904</v>
      </c>
      <c r="F30" s="99" t="n">
        <f aca="false">F28+F29</f>
        <v>4187254.10958904</v>
      </c>
      <c r="G30" s="99" t="n">
        <f aca="false">G28+G29</f>
        <v>4187254.10958904</v>
      </c>
      <c r="H30" s="100" t="n">
        <f aca="false">SUM(C30:G30)</f>
        <v>16436768.4931507</v>
      </c>
    </row>
    <row r="31" customFormat="false" ht="21.75" hidden="false" customHeight="true" outlineLevel="0" collapsed="false">
      <c r="B31" s="101" t="s">
        <v>151</v>
      </c>
      <c r="C31" s="102" t="n">
        <f aca="false">C30</f>
        <v>-312247.945205479</v>
      </c>
      <c r="D31" s="102" t="n">
        <f aca="false">C31+D30</f>
        <v>3875006.16438356</v>
      </c>
      <c r="E31" s="102" t="n">
        <f aca="false">D31+E30</f>
        <v>8062260.2739726</v>
      </c>
      <c r="F31" s="102" t="n">
        <f aca="false">E31+F30</f>
        <v>12249514.3835616</v>
      </c>
      <c r="G31" s="102" t="n">
        <f aca="false">F31+G30</f>
        <v>16436768.4931507</v>
      </c>
      <c r="H31" s="103"/>
    </row>
    <row r="32" customFormat="false" ht="24" hidden="false" customHeight="true" outlineLevel="0" collapsed="false">
      <c r="B32" s="95" t="s">
        <v>152</v>
      </c>
      <c r="C32" s="104" t="n">
        <f aca="false">IFERROR(NPV('⚙️ Assumptions'!D10,C30:G30),0)</f>
        <v>11782531.0653317</v>
      </c>
      <c r="D32" s="105" t="s">
        <v>153</v>
      </c>
      <c r="E32" s="105"/>
      <c r="F32" s="105"/>
      <c r="G32" s="105"/>
      <c r="H32" s="105"/>
    </row>
    <row r="33" customFormat="false" ht="24" hidden="false" customHeight="true" outlineLevel="0" collapsed="false">
      <c r="B33" s="95" t="s">
        <v>154</v>
      </c>
      <c r="C33" s="106" t="n">
        <f aca="false">IFERROR(IRR(C30:G30,0.1),0)</f>
        <v>13.4097183157732</v>
      </c>
      <c r="D33" s="105" t="s">
        <v>155</v>
      </c>
      <c r="E33" s="105"/>
      <c r="F33" s="105"/>
      <c r="G33" s="105"/>
      <c r="H33" s="105"/>
    </row>
    <row r="34" customFormat="false" ht="24" hidden="false" customHeight="true" outlineLevel="0" collapsed="false">
      <c r="B34" s="95" t="s">
        <v>156</v>
      </c>
      <c r="C34" s="107" t="n">
        <f aca="false">IFERROR(MATCH(0,C31:G31,1)+INDEX(C31:G31,MATCH(0,C31:G31,1))/ABS(INDEX(C31:G31,MATCH(0,C31:G31,1))-INDEX(C31:G31,MATCH(0,C31:G31,1)+1)),5)</f>
        <v>0.925428947698585</v>
      </c>
      <c r="D34" s="105" t="s">
        <v>157</v>
      </c>
      <c r="E34" s="105"/>
      <c r="F34" s="105"/>
      <c r="G34" s="105"/>
      <c r="H34" s="105"/>
    </row>
    <row r="35" customFormat="false" ht="24" hidden="false" customHeight="true" outlineLevel="0" collapsed="false">
      <c r="B35" s="95" t="s">
        <v>158</v>
      </c>
      <c r="C35" s="106" t="n">
        <f aca="false">IFERROR((H28+H29)/ABS(H29),0)</f>
        <v>3.85342128546494</v>
      </c>
      <c r="D35" s="105" t="s">
        <v>159</v>
      </c>
      <c r="E35" s="105"/>
      <c r="F35" s="105"/>
      <c r="G35" s="105"/>
      <c r="H35" s="105"/>
    </row>
    <row r="36" customFormat="false" ht="9.75" hidden="false" customHeight="true" outlineLevel="0" collapsed="false"/>
  </sheetData>
  <mergeCells count="17">
    <mergeCell ref="B1:H1"/>
    <mergeCell ref="B2:H2"/>
    <mergeCell ref="B4:H4"/>
    <mergeCell ref="D10:H10"/>
    <mergeCell ref="D11:H11"/>
    <mergeCell ref="D12:H12"/>
    <mergeCell ref="D13:H13"/>
    <mergeCell ref="B15:H15"/>
    <mergeCell ref="D21:H21"/>
    <mergeCell ref="D22:H22"/>
    <mergeCell ref="D23:H23"/>
    <mergeCell ref="D24:H24"/>
    <mergeCell ref="B26:H26"/>
    <mergeCell ref="D32:H32"/>
    <mergeCell ref="D33:H33"/>
    <mergeCell ref="D34:H34"/>
    <mergeCell ref="D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B6CB0"/>
    <pageSetUpPr fitToPage="false"/>
  </sheetPr>
  <dimension ref="B1:F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0"/>
    <col collapsed="false" customWidth="true" hidden="false" outlineLevel="0" max="6" min="3" style="0" width="16"/>
    <col collapsed="false" customWidth="true" hidden="false" outlineLevel="0" max="7" min="7" style="0" width="4"/>
  </cols>
  <sheetData>
    <row r="1" customFormat="false" ht="31.5" hidden="false" customHeight="true" outlineLevel="0" collapsed="false">
      <c r="B1" s="22" t="s">
        <v>162</v>
      </c>
      <c r="C1" s="22"/>
      <c r="D1" s="22"/>
      <c r="E1" s="22"/>
      <c r="F1" s="22"/>
    </row>
    <row r="2" customFormat="false" ht="15.75" hidden="false" customHeight="true" outlineLevel="0" collapsed="false">
      <c r="B2" s="23" t="s">
        <v>163</v>
      </c>
      <c r="C2" s="23"/>
      <c r="D2" s="23"/>
      <c r="E2" s="23"/>
      <c r="F2" s="23"/>
    </row>
    <row r="3" customFormat="false" ht="7.5" hidden="false" customHeight="true" outlineLevel="0" collapsed="false"/>
    <row r="4" customFormat="false" ht="19.5" hidden="false" customHeight="true" outlineLevel="0" collapsed="false">
      <c r="B4" s="24" t="s">
        <v>164</v>
      </c>
      <c r="C4" s="24"/>
      <c r="D4" s="24"/>
      <c r="E4" s="24"/>
      <c r="F4" s="24"/>
    </row>
    <row r="5" customFormat="false" ht="24" hidden="false" customHeight="true" outlineLevel="0" collapsed="false">
      <c r="B5" s="25" t="s">
        <v>165</v>
      </c>
      <c r="C5" s="108" t="s">
        <v>39</v>
      </c>
      <c r="D5" s="109" t="s">
        <v>40</v>
      </c>
      <c r="E5" s="110" t="s">
        <v>41</v>
      </c>
    </row>
    <row r="6" customFormat="false" ht="27.75" hidden="false" customHeight="true" outlineLevel="0" collapsed="false">
      <c r="B6" s="111" t="s">
        <v>166</v>
      </c>
      <c r="C6" s="74" t="n">
        <f aca="false">'⚖️ ROI Engine'!C10</f>
        <v>4323304.12020424</v>
      </c>
      <c r="D6" s="87" t="n">
        <f aca="false">'⚖️ ROI Engine'!C21</f>
        <v>8052917.59276798</v>
      </c>
      <c r="E6" s="100" t="n">
        <f aca="false">'⚖️ ROI Engine'!C32</f>
        <v>11782531.0653317</v>
      </c>
    </row>
    <row r="7" customFormat="false" ht="27.75" hidden="false" customHeight="true" outlineLevel="0" collapsed="false">
      <c r="B7" s="11" t="s">
        <v>167</v>
      </c>
      <c r="C7" s="112" t="n">
        <f aca="false">'⚖️ ROI Engine'!C11</f>
        <v>1.17007394852253</v>
      </c>
      <c r="D7" s="113" t="n">
        <f aca="false">'⚖️ ROI Engine'!C22</f>
        <v>3.15471164224978</v>
      </c>
      <c r="E7" s="114" t="n">
        <f aca="false">'⚖️ ROI Engine'!C33</f>
        <v>13.4097183157732</v>
      </c>
    </row>
    <row r="8" customFormat="false" ht="27.75" hidden="false" customHeight="true" outlineLevel="0" collapsed="false">
      <c r="B8" s="111" t="s">
        <v>156</v>
      </c>
      <c r="C8" s="115" t="n">
        <f aca="false">'⚖️ ROI Engine'!C12</f>
        <v>0.183891107646527</v>
      </c>
      <c r="D8" s="116" t="n">
        <f aca="false">'⚖️ ROI Engine'!C23</f>
        <v>0.684077658762209</v>
      </c>
      <c r="E8" s="117" t="n">
        <f aca="false">'⚖️ ROI Engine'!C34</f>
        <v>0.925428947698585</v>
      </c>
    </row>
    <row r="9" customFormat="false" ht="27.75" hidden="false" customHeight="true" outlineLevel="0" collapsed="false">
      <c r="B9" s="11" t="s">
        <v>158</v>
      </c>
      <c r="C9" s="112" t="n">
        <f aca="false">'⚖️ ROI Engine'!C13</f>
        <v>1.36448729291882</v>
      </c>
      <c r="D9" s="113" t="n">
        <f aca="false">'⚖️ ROI Engine'!C24</f>
        <v>2.54673093937822</v>
      </c>
      <c r="E9" s="114" t="n">
        <f aca="false">'⚖️ ROI Engine'!C35</f>
        <v>3.85342128546494</v>
      </c>
    </row>
    <row r="10" customFormat="false" ht="27.75" hidden="false" customHeight="true" outlineLevel="0" collapsed="false">
      <c r="B10" s="111" t="s">
        <v>168</v>
      </c>
      <c r="C10" s="74" t="n">
        <f aca="false">'⚖️ ROI Engine'!H8</f>
        <v>6432875.34246575</v>
      </c>
      <c r="D10" s="87" t="n">
        <f aca="false">'⚖️ ROI Engine'!H19</f>
        <v>11434821.9178082</v>
      </c>
      <c r="E10" s="100" t="n">
        <f aca="false">'⚖️ ROI Engine'!H30</f>
        <v>16436768.4931507</v>
      </c>
    </row>
    <row r="11" customFormat="false" ht="12" hidden="false" customHeight="true" outlineLevel="0" collapsed="false"/>
    <row r="12" customFormat="false" ht="19.5" hidden="false" customHeight="true" outlineLevel="0" collapsed="false">
      <c r="B12" s="24" t="s">
        <v>169</v>
      </c>
      <c r="C12" s="24"/>
      <c r="D12" s="24"/>
      <c r="E12" s="24"/>
      <c r="F12" s="24"/>
    </row>
    <row r="13" customFormat="false" ht="21.75" hidden="false" customHeight="true" outlineLevel="0" collapsed="false">
      <c r="B13" s="118" t="s">
        <v>170</v>
      </c>
      <c r="C13" s="118" t="s">
        <v>171</v>
      </c>
    </row>
    <row r="14" customFormat="false" ht="21.75" hidden="false" customHeight="true" outlineLevel="0" collapsed="false">
      <c r="B14" s="29" t="s">
        <v>172</v>
      </c>
      <c r="C14" s="119" t="n">
        <f aca="false">'📈 Benefit Model'!H11</f>
        <v>9900000</v>
      </c>
    </row>
    <row r="15" customFormat="false" ht="21.75" hidden="false" customHeight="true" outlineLevel="0" collapsed="false">
      <c r="B15" s="29" t="s">
        <v>173</v>
      </c>
      <c r="C15" s="119" t="n">
        <f aca="false">'📈 Benefit Model'!H17</f>
        <v>5453321.91780822</v>
      </c>
    </row>
    <row r="16" customFormat="false" ht="21.75" hidden="false" customHeight="true" outlineLevel="0" collapsed="false">
      <c r="B16" s="29" t="s">
        <v>174</v>
      </c>
      <c r="C16" s="119" t="n">
        <f aca="false">'📈 Benefit Model'!H24</f>
        <v>571500</v>
      </c>
    </row>
    <row r="18" customFormat="false" ht="9.75" hidden="false" customHeight="true" outlineLevel="0" collapsed="false"/>
    <row r="19" customFormat="false" ht="19.5" hidden="false" customHeight="true" outlineLevel="0" collapsed="false">
      <c r="B19" s="24" t="s">
        <v>175</v>
      </c>
      <c r="C19" s="24"/>
      <c r="D19" s="24"/>
      <c r="E19" s="24"/>
      <c r="F19" s="24"/>
    </row>
    <row r="20" customFormat="false" ht="21.75" hidden="false" customHeight="true" outlineLevel="0" collapsed="false">
      <c r="B20" s="118" t="s">
        <v>176</v>
      </c>
      <c r="C20" s="118" t="s">
        <v>39</v>
      </c>
      <c r="D20" s="118" t="s">
        <v>40</v>
      </c>
      <c r="E20" s="118" t="s">
        <v>41</v>
      </c>
    </row>
    <row r="21" customFormat="false" ht="21.75" hidden="false" customHeight="true" outlineLevel="0" collapsed="false">
      <c r="B21" s="120" t="s">
        <v>109</v>
      </c>
      <c r="C21" s="76" t="n">
        <f aca="false">'⚖️ ROI Engine'!C9</f>
        <v>-1648902.73972603</v>
      </c>
      <c r="D21" s="89" t="n">
        <f aca="false">'⚖️ ROI Engine'!C20</f>
        <v>-980575.342465753</v>
      </c>
      <c r="E21" s="102" t="n">
        <f aca="false">'⚖️ ROI Engine'!C31</f>
        <v>-312247.945205479</v>
      </c>
    </row>
    <row r="22" customFormat="false" ht="21.75" hidden="false" customHeight="true" outlineLevel="0" collapsed="false">
      <c r="B22" s="120" t="s">
        <v>110</v>
      </c>
      <c r="C22" s="76" t="n">
        <f aca="false">'⚖️ ROI Engine'!D9</f>
        <v>371541.780821918</v>
      </c>
      <c r="D22" s="89" t="n">
        <f aca="false">'⚖️ ROI Engine'!D20</f>
        <v>2123273.97260274</v>
      </c>
      <c r="E22" s="102" t="n">
        <f aca="false">'⚖️ ROI Engine'!D31</f>
        <v>3875006.16438356</v>
      </c>
    </row>
    <row r="23" customFormat="false" ht="21.75" hidden="false" customHeight="true" outlineLevel="0" collapsed="false">
      <c r="B23" s="120" t="s">
        <v>111</v>
      </c>
      <c r="C23" s="76" t="n">
        <f aca="false">'⚖️ ROI Engine'!E9</f>
        <v>2391986.30136986</v>
      </c>
      <c r="D23" s="89" t="n">
        <f aca="false">'⚖️ ROI Engine'!E20</f>
        <v>5227123.28767123</v>
      </c>
      <c r="E23" s="102" t="n">
        <f aca="false">'⚖️ ROI Engine'!E31</f>
        <v>8062260.2739726</v>
      </c>
    </row>
    <row r="24" customFormat="false" ht="21.75" hidden="false" customHeight="true" outlineLevel="0" collapsed="false">
      <c r="B24" s="120" t="s">
        <v>112</v>
      </c>
      <c r="C24" s="76" t="n">
        <f aca="false">'⚖️ ROI Engine'!F9</f>
        <v>4412430.82191781</v>
      </c>
      <c r="D24" s="89" t="n">
        <f aca="false">'⚖️ ROI Engine'!F20</f>
        <v>8330972.60273973</v>
      </c>
      <c r="E24" s="102" t="n">
        <f aca="false">'⚖️ ROI Engine'!F31</f>
        <v>12249514.3835616</v>
      </c>
    </row>
    <row r="25" customFormat="false" ht="21.75" hidden="false" customHeight="true" outlineLevel="0" collapsed="false">
      <c r="B25" s="120" t="s">
        <v>113</v>
      </c>
      <c r="C25" s="76" t="n">
        <f aca="false">'⚖️ ROI Engine'!G9</f>
        <v>6432875.34246575</v>
      </c>
      <c r="D25" s="89" t="n">
        <f aca="false">'⚖️ ROI Engine'!G20</f>
        <v>11434821.9178082</v>
      </c>
      <c r="E25" s="102" t="n">
        <f aca="false">'⚖️ ROI Engine'!G31</f>
        <v>16436768.4931507</v>
      </c>
    </row>
    <row r="27" customFormat="false" ht="9.75" hidden="false" customHeight="true" outlineLevel="0" collapsed="false"/>
    <row r="28" customFormat="false" ht="19.5" hidden="false" customHeight="true" outlineLevel="0" collapsed="false">
      <c r="B28" s="24" t="s">
        <v>177</v>
      </c>
      <c r="C28" s="24"/>
      <c r="D28" s="24"/>
      <c r="E28" s="24"/>
      <c r="F28" s="24"/>
    </row>
    <row r="29" customFormat="false" ht="27.75" hidden="false" customHeight="true" outlineLevel="0" collapsed="false">
      <c r="B29" s="121" t="s">
        <v>178</v>
      </c>
      <c r="C29" s="6" t="s">
        <v>179</v>
      </c>
      <c r="D29" s="6"/>
      <c r="E29" s="6"/>
      <c r="F29" s="6"/>
    </row>
    <row r="30" customFormat="false" ht="27.75" hidden="false" customHeight="true" outlineLevel="0" collapsed="false">
      <c r="B30" s="122" t="s">
        <v>180</v>
      </c>
      <c r="C30" s="9" t="s">
        <v>181</v>
      </c>
      <c r="D30" s="9"/>
      <c r="E30" s="9"/>
      <c r="F30" s="9"/>
    </row>
    <row r="31" customFormat="false" ht="27.75" hidden="false" customHeight="true" outlineLevel="0" collapsed="false">
      <c r="B31" s="121" t="s">
        <v>182</v>
      </c>
      <c r="C31" s="6" t="s">
        <v>183</v>
      </c>
      <c r="D31" s="6"/>
      <c r="E31" s="6"/>
      <c r="F31" s="6"/>
    </row>
    <row r="32" customFormat="false" ht="27.75" hidden="false" customHeight="true" outlineLevel="0" collapsed="false">
      <c r="B32" s="122" t="s">
        <v>184</v>
      </c>
      <c r="C32" s="9" t="s">
        <v>185</v>
      </c>
      <c r="D32" s="9"/>
      <c r="E32" s="9"/>
      <c r="F32" s="9"/>
    </row>
    <row r="33" customFormat="false" ht="27.75" hidden="false" customHeight="true" outlineLevel="0" collapsed="false">
      <c r="B33" s="121" t="s">
        <v>186</v>
      </c>
      <c r="C33" s="6" t="s">
        <v>187</v>
      </c>
      <c r="D33" s="6"/>
      <c r="E33" s="6"/>
      <c r="F33" s="6"/>
    </row>
    <row r="34" customFormat="false" ht="27.75" hidden="false" customHeight="true" outlineLevel="0" collapsed="false">
      <c r="B34" s="122" t="s">
        <v>188</v>
      </c>
      <c r="C34" s="9" t="s">
        <v>189</v>
      </c>
      <c r="D34" s="9"/>
      <c r="E34" s="9"/>
      <c r="F34" s="9"/>
    </row>
    <row r="36" customFormat="false" ht="18" hidden="false" customHeight="true" outlineLevel="0" collapsed="false">
      <c r="B36" s="21" t="s">
        <v>190</v>
      </c>
      <c r="C36" s="21"/>
      <c r="D36" s="21"/>
      <c r="E36" s="21"/>
      <c r="F36" s="21"/>
    </row>
  </sheetData>
  <mergeCells count="13">
    <mergeCell ref="B1:F1"/>
    <mergeCell ref="B2:F2"/>
    <mergeCell ref="B4:F4"/>
    <mergeCell ref="B12:F12"/>
    <mergeCell ref="B19:F19"/>
    <mergeCell ref="B28:F28"/>
    <mergeCell ref="C29:F29"/>
    <mergeCell ref="C30:F30"/>
    <mergeCell ref="C31:F31"/>
    <mergeCell ref="C32:F32"/>
    <mergeCell ref="C33:F33"/>
    <mergeCell ref="C34:F34"/>
    <mergeCell ref="B36:F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2026-03-15T03:22:05Z</dcterms:created>
  <dc:creator>openpyxl</dc:creator>
  <dc:description/>
  <dc:language>en-US</dc:language>
  <cp:lastModifiedBy/>
  <dcterms:modified xsi:type="dcterms:W3CDTF">2026-03-15T03:22:12Z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