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📋 Instructions" sheetId="1" state="visible" r:id="rId3"/>
    <sheet name="⚙️ Assumptions" sheetId="2" state="visible" r:id="rId4"/>
    <sheet name="📊 ARR Waterfall" sheetId="3" state="visible" r:id="rId5"/>
    <sheet name="📈 NRR Dashboard" sheetId="4" state="visible" r:id="rId6"/>
    <sheet name="🔍 Driver Detail" sheetId="5" state="visible" r:id="rId7"/>
    <sheet name="📋 Board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<sst xmlns="http://schemas.openxmlformats.org/spreadsheetml/2006/main" count="224" uniqueCount="182">
  <si>
    <t xml:space="preserve">EfuturesCFO Inc. — ARR Waterfall &amp; NRR Intelligence Model</t>
  </si>
  <si>
    <t xml:space="preserve">Rolling 12-Month Revenue Retention Forecast  |  Board-Ready Edition</t>
  </si>
  <si>
    <t xml:space="preserve">HOW TO USE THIS MODEL</t>
  </si>
  <si>
    <t xml:space="preserve">Step 1</t>
  </si>
  <si>
    <t xml:space="preserve">Navigate to the '⚙️ Assumptions' tab and enter your actual ARR data, growth rates, and retention assumptions. All blue cells are editable inputs.</t>
  </si>
  <si>
    <t xml:space="preserve">Step 2</t>
  </si>
  <si>
    <t xml:space="preserve">The '📊 ARR Waterfall' tab automatically calculates your 12-month forecast, showing new logo, expansion, contraction, and churn in each period.</t>
  </si>
  <si>
    <t xml:space="preserve">Step 3</t>
  </si>
  <si>
    <t xml:space="preserve">Review '📈 NRR Dashboard' for your Net Revenue Retention rate, cohort benchmarking vs. best-in-class peers, and Magic Number analysis.</t>
  </si>
  <si>
    <t xml:space="preserve">Step 4</t>
  </si>
  <si>
    <t xml:space="preserve">The '🔍 Driver Detail' tab breaks down each ARR component by segment (Enterprise / Mid-Market / SMB) for granular analysis.</t>
  </si>
  <si>
    <t xml:space="preserve">Step 5</t>
  </si>
  <si>
    <t xml:space="preserve">Share the '📋 Board Summary' tab directly in board meetings — it auto-populates from your data with no manual updates required.</t>
  </si>
  <si>
    <t xml:space="preserve">COLOUR CODING KEY</t>
  </si>
  <si>
    <t xml:space="preserve">Blue text</t>
  </si>
  <si>
    <t xml:space="preserve">Hardcoded input — change these to your actual numbers</t>
  </si>
  <si>
    <t xml:space="preserve">Black text</t>
  </si>
  <si>
    <t xml:space="preserve">Formula — do not overwrite</t>
  </si>
  <si>
    <t xml:space="preserve">Green text</t>
  </si>
  <si>
    <t xml:space="preserve">Cross-sheet link pulling from another tab</t>
  </si>
  <si>
    <t xml:space="preserve">Yellow bg</t>
  </si>
  <si>
    <t xml:space="preserve">Key assumption cell requiring your attention</t>
  </si>
  <si>
    <t xml:space="preserve">© 2025 EfuturesCFO Inc. — For internal and board use only. Not for distribution.</t>
  </si>
  <si>
    <t xml:space="preserve">⚙️  Model Assumptions — EfuturesCFO Inc.</t>
  </si>
  <si>
    <t xml:space="preserve">A.  STARTING ARR &amp; PERIOD</t>
  </si>
  <si>
    <t xml:space="preserve">Starting ARR (Annual Recurring Revenue)</t>
  </si>
  <si>
    <t xml:space="preserve">Enter total ARR at start of period</t>
  </si>
  <si>
    <t xml:space="preserve">Model Start Month</t>
  </si>
  <si>
    <t xml:space="preserve">Jan-25</t>
  </si>
  <si>
    <t xml:space="preserve">Label only — months auto-populate</t>
  </si>
  <si>
    <t xml:space="preserve">Reporting Currency</t>
  </si>
  <si>
    <t xml:space="preserve">USD</t>
  </si>
  <si>
    <t xml:space="preserve">USD default</t>
  </si>
  <si>
    <t xml:space="preserve">B.  NEW LOGO (New Business ARR)</t>
  </si>
  <si>
    <t xml:space="preserve">New Logo ARR — Month 1 (Jan-25)</t>
  </si>
  <si>
    <t xml:space="preserve">Monthly new business bookings</t>
  </si>
  <si>
    <t xml:space="preserve">New Logo ARR — Month 2 (Feb-25)</t>
  </si>
  <si>
    <t xml:space="preserve">New Logo ARR — Month 3 (Mar-25)</t>
  </si>
  <si>
    <t xml:space="preserve">New Logo ARR — Month 4 (Apr-25)</t>
  </si>
  <si>
    <t xml:space="preserve">New Logo ARR — Month 5 (May-25)</t>
  </si>
  <si>
    <t xml:space="preserve">New Logo ARR — Month 6 (Jun-25)</t>
  </si>
  <si>
    <t xml:space="preserve">New Logo ARR — Month 7 (Jul-25)</t>
  </si>
  <si>
    <t xml:space="preserve">New Logo ARR — Month 8 (Aug-25)</t>
  </si>
  <si>
    <t xml:space="preserve">New Logo ARR — Month 9 (Sep-25)</t>
  </si>
  <si>
    <t xml:space="preserve">New Logo ARR — Month 10 (Oct-25)</t>
  </si>
  <si>
    <t xml:space="preserve">New Logo ARR — Month 11 (Nov-25)</t>
  </si>
  <si>
    <t xml:space="preserve">New Logo ARR — Month 12 (Dec-25)</t>
  </si>
  <si>
    <t xml:space="preserve">C.  EXPANSION (Upsell / Usage-Based Growth)</t>
  </si>
  <si>
    <t xml:space="preserve">Expansion Rate — % of Opening ARR (monthly)</t>
  </si>
  <si>
    <t xml:space="preserve">Typical SaaS+usage: 1.0%–2.5%/mo</t>
  </si>
  <si>
    <t xml:space="preserve">Expansion Seasonality Boost (Q4)</t>
  </si>
  <si>
    <t xml:space="preserve">Additional rate applied Oct–Dec</t>
  </si>
  <si>
    <t xml:space="preserve">D.  CONTRACTION (Downgrades)</t>
  </si>
  <si>
    <t xml:space="preserve">Contraction Rate — % of Opening ARR (monthly)</t>
  </si>
  <si>
    <t xml:space="preserve">Typical range: 0.2%–0.8%/mo</t>
  </si>
  <si>
    <t xml:space="preserve">E.  CHURN (Logo &amp; ARR Loss)</t>
  </si>
  <si>
    <t xml:space="preserve">Monthly Gross Churn Rate — % of Opening ARR</t>
  </si>
  <si>
    <t xml:space="preserve">Typical SaaS: 0.5%–1.5%/mo</t>
  </si>
  <si>
    <t xml:space="preserve">Churn Seasonality Factor (Q1 — higher churn)</t>
  </si>
  <si>
    <t xml:space="preserve">Extra churn applied Jan–Mar</t>
  </si>
  <si>
    <t xml:space="preserve">F.  CUSTOMER COUNTS</t>
  </si>
  <si>
    <t xml:space="preserve">Total Customers — Start of Period</t>
  </si>
  <si>
    <t xml:space="preserve">Opening logo count</t>
  </si>
  <si>
    <t xml:space="preserve">Avg New Logos Per Month</t>
  </si>
  <si>
    <t xml:space="preserve">New logos added monthly (approx)</t>
  </si>
  <si>
    <t xml:space="preserve">Avg Churned Logos Per Month</t>
  </si>
  <si>
    <t xml:space="preserve">Logos lost monthly (approx)</t>
  </si>
  <si>
    <t xml:space="preserve">G.  SEGMENT MIX (% of Total ARR)</t>
  </si>
  <si>
    <t xml:space="preserve">Enterprise Segment — % of ARR</t>
  </si>
  <si>
    <t xml:space="preserve">Typically higher ACV, lower churn</t>
  </si>
  <si>
    <t xml:space="preserve">Mid-Market Segment — % of ARR</t>
  </si>
  <si>
    <t xml:space="preserve">SMB Segment — % of ARR</t>
  </si>
  <si>
    <t xml:space="preserve">H.  NRR BENCHMARK THRESHOLDS (for Dashboard Colouring)</t>
  </si>
  <si>
    <t xml:space="preserve">Best-in-Class NRR Threshold (green above)</t>
  </si>
  <si>
    <t xml:space="preserve">e.g. Snowflake, Datadog &gt;120%</t>
  </si>
  <si>
    <t xml:space="preserve">Good NRR Threshold (amber above)</t>
  </si>
  <si>
    <t xml:space="preserve">e.g. most top-quartile SaaS</t>
  </si>
  <si>
    <t xml:space="preserve">Minimum Acceptable NRR (red below)</t>
  </si>
  <si>
    <t xml:space="preserve">Below 100% = shrinking base</t>
  </si>
  <si>
    <t xml:space="preserve">ℹ  All blue cells are editable inputs. Black cells contain formulas — do not overwrite. Yellow highlight = key assumption.</t>
  </si>
  <si>
    <t xml:space="preserve">📊  Rolling 12-Month ARR Waterfall Forecast — EfuturesCFO Inc.</t>
  </si>
  <si>
    <t xml:space="preserve">ARR COMPONENT</t>
  </si>
  <si>
    <t xml:space="preserve">Feb-25</t>
  </si>
  <si>
    <t xml:space="preserve">Mar-25</t>
  </si>
  <si>
    <t xml:space="preserve">Apr-25</t>
  </si>
  <si>
    <t xml:space="preserve">May-25</t>
  </si>
  <si>
    <t xml:space="preserve">Jun-25</t>
  </si>
  <si>
    <t xml:space="preserve">Jul-25</t>
  </si>
  <si>
    <t xml:space="preserve">Aug-25</t>
  </si>
  <si>
    <t xml:space="preserve">Sep-25</t>
  </si>
  <si>
    <t xml:space="preserve">Oct-25</t>
  </si>
  <si>
    <t xml:space="preserve">Nov-25</t>
  </si>
  <si>
    <t xml:space="preserve">Dec-25</t>
  </si>
  <si>
    <t xml:space="preserve">FY TOTAL</t>
  </si>
  <si>
    <t xml:space="preserve">Opening ARR</t>
  </si>
  <si>
    <t xml:space="preserve">+ New Logo</t>
  </si>
  <si>
    <t xml:space="preserve">+ Expansion</t>
  </si>
  <si>
    <t xml:space="preserve">− Contraction</t>
  </si>
  <si>
    <t xml:space="preserve">− Churn</t>
  </si>
  <si>
    <t xml:space="preserve">Net Change</t>
  </si>
  <si>
    <t xml:space="preserve">Closing ARR</t>
  </si>
  <si>
    <t xml:space="preserve">Net Revenue Retention (NRR)</t>
  </si>
  <si>
    <t xml:space="preserve">Gross Revenue Retention (GRR)</t>
  </si>
  <si>
    <t xml:space="preserve">Expansion Rate (% of Open ARR)</t>
  </si>
  <si>
    <t xml:space="preserve">Ending Customer Count</t>
  </si>
  <si>
    <t xml:space="preserve">📈  Net Revenue Retention Intelligence Dashboard — EfuturesCFO Inc.</t>
  </si>
  <si>
    <t xml:space="preserve">METRIC</t>
  </si>
  <si>
    <t xml:space="preserve">TRAILING 12M</t>
  </si>
  <si>
    <t xml:space="preserve">New Logo ARR Added</t>
  </si>
  <si>
    <t xml:space="preserve">Expansion ARR</t>
  </si>
  <si>
    <t xml:space="preserve">Contraction ARR</t>
  </si>
  <si>
    <t xml:space="preserve">Churn ARR</t>
  </si>
  <si>
    <t xml:space="preserve">Gross Revenue Retention</t>
  </si>
  <si>
    <t xml:space="preserve">Expansion Rate (of Open ARR)</t>
  </si>
  <si>
    <t xml:space="preserve">NRR BENCHMARKS vs. PEER COHORTS</t>
  </si>
  <si>
    <t xml:space="preserve">Cohort</t>
  </si>
  <si>
    <t xml:space="preserve">NRR Range</t>
  </si>
  <si>
    <t xml:space="preserve">Example Companies</t>
  </si>
  <si>
    <t xml:space="preserve">Your NRR vs. Cohort</t>
  </si>
  <si>
    <t xml:space="preserve">Best-in-Class</t>
  </si>
  <si>
    <t xml:space="preserve">&gt;120%</t>
  </si>
  <si>
    <t xml:space="preserve">Snowflake, Datadog, Crowdstrike</t>
  </si>
  <si>
    <t xml:space="preserve">Top Quartile</t>
  </si>
  <si>
    <t xml:space="preserve">110–120%</t>
  </si>
  <si>
    <t xml:space="preserve">HubSpot, Zendesk, Okta</t>
  </si>
  <si>
    <t xml:space="preserve">Median</t>
  </si>
  <si>
    <t xml:space="preserve">100–110%</t>
  </si>
  <si>
    <t xml:space="preserve">Broad SaaS median</t>
  </si>
  <si>
    <t xml:space="preserve">Below Median</t>
  </si>
  <si>
    <t xml:space="preserve">&lt;100%</t>
  </si>
  <si>
    <t xml:space="preserve">Churn exceeds expansion</t>
  </si>
  <si>
    <t xml:space="preserve">KEY SaaS EFFICIENCY METRICS</t>
  </si>
  <si>
    <t xml:space="preserve">Annualised NRR (trailing 12m avg)</t>
  </si>
  <si>
    <t xml:space="preserve">Annualised GRR (trailing 12m avg)</t>
  </si>
  <si>
    <t xml:space="preserve">Total ARR Added (New Logo + Expansion)</t>
  </si>
  <si>
    <t xml:space="preserve">Total ARR Lost (Contraction + Churn)</t>
  </si>
  <si>
    <t xml:space="preserve">Net ARR Added</t>
  </si>
  <si>
    <t xml:space="preserve">ARR Growth (Opening to Closing)</t>
  </si>
  <si>
    <t xml:space="preserve">Expansion as % of Total ARR Added</t>
  </si>
  <si>
    <t xml:space="preserve">🔍  ARR Driver Detail by Customer Segment — EfuturesCFO Inc.</t>
  </si>
  <si>
    <t xml:space="preserve">SEGMENT / DRIVER</t>
  </si>
  <si>
    <t xml:space="preserve">ENTERPRISE SEGMENT  (C39 of total ARR)</t>
  </si>
  <si>
    <t xml:space="preserve">  Opening ARR</t>
  </si>
  <si>
    <t xml:space="preserve">  New Logo</t>
  </si>
  <si>
    <t xml:space="preserve">  Expansion</t>
  </si>
  <si>
    <t xml:space="preserve">  Contraction</t>
  </si>
  <si>
    <t xml:space="preserve">  Churn</t>
  </si>
  <si>
    <t xml:space="preserve">MID-MARKET SEGMENT  (C40 of total ARR)</t>
  </si>
  <si>
    <t xml:space="preserve">SMB SEGMENT  (C41 of total ARR)</t>
  </si>
  <si>
    <t xml:space="preserve">EfuturesCFO Inc.
ARR Performance Summary — FY 2025</t>
  </si>
  <si>
    <t xml:space="preserve">KEY PERFORMANCE INDICATORS</t>
  </si>
  <si>
    <t xml:space="preserve">Opening ARR (Jan 2025)</t>
  </si>
  <si>
    <t xml:space="preserve">Starting position</t>
  </si>
  <si>
    <t xml:space="preserve">Closing ARR (Dec 2025)</t>
  </si>
  <si>
    <t xml:space="preserve">Year-end ARR</t>
  </si>
  <si>
    <t xml:space="preserve">New Logo + Expansion − Contraction − Churn</t>
  </si>
  <si>
    <t xml:space="preserve">ARR Growth Rate</t>
  </si>
  <si>
    <t xml:space="preserve">Opening to closing</t>
  </si>
  <si>
    <t xml:space="preserve">Total New Logo ARR</t>
  </si>
  <si>
    <t xml:space="preserve">New business bookings</t>
  </si>
  <si>
    <t xml:space="preserve">Total Expansion ARR</t>
  </si>
  <si>
    <t xml:space="preserve">Upsell / usage growth</t>
  </si>
  <si>
    <t xml:space="preserve">Total Contraction ARR</t>
  </si>
  <si>
    <t xml:space="preserve">Downgrades</t>
  </si>
  <si>
    <t xml:space="preserve">Total Churn ARR</t>
  </si>
  <si>
    <t xml:space="preserve">Lost ARR</t>
  </si>
  <si>
    <t xml:space="preserve">Trailing NRR (avg monthly)</t>
  </si>
  <si>
    <t xml:space="preserve">Net Revenue Retention</t>
  </si>
  <si>
    <t xml:space="preserve">Trailing GRR (avg monthly)</t>
  </si>
  <si>
    <t xml:space="preserve">Total active logos</t>
  </si>
  <si>
    <t xml:space="preserve">Avg ARR per Customer (EoY)</t>
  </si>
  <si>
    <t xml:space="preserve">ACV proxy</t>
  </si>
  <si>
    <t xml:space="preserve">BOARD COMMENTARY GUIDE</t>
  </si>
  <si>
    <t xml:space="preserve">NRR &gt; 120%</t>
  </si>
  <si>
    <t xml:space="preserve">World-class. Land-and-expand motion is working. Focus on new logo acceleration.</t>
  </si>
  <si>
    <t xml:space="preserve">NRR 110–120%</t>
  </si>
  <si>
    <t xml:space="preserve">Strong. Existing customers are growing. Monitor churn signals in SMB cohort.</t>
  </si>
  <si>
    <t xml:space="preserve">NRR 100–110%</t>
  </si>
  <si>
    <t xml:space="preserve">Adequate. Expansion is covering churn. Identify top upsell candidates to improve.</t>
  </si>
  <si>
    <t xml:space="preserve">NRR &lt; 100%</t>
  </si>
  <si>
    <t xml:space="preserve">ALERT. Churn + contraction outpacing expansion. Immediate CSM and pricing review needed.</t>
  </si>
  <si>
    <t xml:space="preserve">© 2025 EfuturesCFO Inc.  |  Model auto-updates from ⚙️ Assumptions tab  |  For internal and board use only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</si>
</sst>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%;\(0.0%\);\-"/>
    <numFmt numFmtId="167" formatCode="#,##0;\(#,##0\);\-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C9A84C"/>
      <name val="Arial"/>
      <family val="0"/>
      <charset val="1"/>
    </font>
    <font>
      <b val="true"/>
      <sz val="12"/>
      <color rgb="FF1B3A6B"/>
      <name val="Arial"/>
      <family val="0"/>
      <charset val="1"/>
    </font>
    <font>
      <b val="true"/>
      <sz val="10"/>
      <color rgb="FF2C2C2C"/>
      <name val="Arial"/>
      <family val="0"/>
      <charset val="1"/>
    </font>
    <font>
      <sz val="10"/>
      <color rgb="FF2C2C2C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0"/>
      <color rgb="FFFFC000"/>
      <name val="Arial"/>
      <family val="0"/>
      <charset val="1"/>
    </font>
    <font>
      <i val="true"/>
      <sz val="9"/>
      <color rgb="FF6B6B6B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1A6B3C"/>
      <name val="Arial"/>
      <family val="0"/>
      <charset val="1"/>
    </font>
    <font>
      <b val="true"/>
      <sz val="10"/>
      <color rgb="FF1A6B3C"/>
      <name val="Arial"/>
      <family val="0"/>
      <charset val="1"/>
    </font>
    <font>
      <sz val="10"/>
      <color rgb="FF1B5E20"/>
      <name val="Arial"/>
      <family val="0"/>
      <charset val="1"/>
    </font>
    <font>
      <b val="true"/>
      <sz val="10"/>
      <color rgb="FF1B5E20"/>
      <name val="Arial"/>
      <family val="0"/>
      <charset val="1"/>
    </font>
    <font>
      <sz val="10"/>
      <color rgb="FF856404"/>
      <name val="Arial"/>
      <family val="0"/>
      <charset val="1"/>
    </font>
    <font>
      <b val="true"/>
      <sz val="10"/>
      <color rgb="FF856404"/>
      <name val="Arial"/>
      <family val="0"/>
      <charset val="1"/>
    </font>
    <font>
      <sz val="10"/>
      <color rgb="FF8B1A1A"/>
      <name val="Arial"/>
      <family val="0"/>
      <charset val="1"/>
    </font>
    <font>
      <b val="true"/>
      <sz val="10"/>
      <color rgb="FF8B1A1A"/>
      <name val="Arial"/>
      <family val="0"/>
      <charset val="1"/>
    </font>
    <font>
      <b val="true"/>
      <sz val="10"/>
      <color rgb="FF1B3A6B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1B3A6B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1B3A6B"/>
      <name val="Arial"/>
      <family val="0"/>
      <charset val="1"/>
    </font>
    <font>
      <sz val="9"/>
      <color rgb="FF2C2C2C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C9A84C"/>
        <bgColor rgb="FFFF9900"/>
      </patternFill>
    </fill>
    <fill>
      <patternFill patternType="solid">
        <fgColor rgb="FFD6E4F0"/>
        <bgColor rgb="FFD4EDDA"/>
      </patternFill>
    </fill>
    <fill>
      <patternFill patternType="solid">
        <fgColor rgb="FFFFFFFF"/>
        <bgColor rgb="FFF2F4F7"/>
      </patternFill>
    </fill>
    <fill>
      <patternFill patternType="solid">
        <fgColor rgb="FFFFFACD"/>
        <bgColor rgb="FFFFF3CD"/>
      </patternFill>
    </fill>
    <fill>
      <patternFill patternType="solid">
        <fgColor rgb="FFF2F4F7"/>
        <bgColor rgb="FFE8F5E9"/>
      </patternFill>
    </fill>
    <fill>
      <patternFill patternType="solid">
        <fgColor rgb="FFD4EDDA"/>
        <bgColor rgb="FFD6E4F0"/>
      </patternFill>
    </fill>
    <fill>
      <patternFill patternType="solid">
        <fgColor rgb="FFE8F5E9"/>
        <bgColor rgb="FFF2F4F7"/>
      </patternFill>
    </fill>
    <fill>
      <patternFill patternType="solid">
        <fgColor rgb="FFFFF3CD"/>
        <bgColor rgb="FFFFFACD"/>
      </patternFill>
    </fill>
    <fill>
      <patternFill patternType="solid">
        <fgColor rgb="FFFDECEA"/>
        <bgColor rgb="FFF2F4F7"/>
      </patternFill>
    </fill>
    <fill>
      <patternFill patternType="solid">
        <fgColor rgb="FF17A2B8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1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2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3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4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5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6" fillId="1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9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0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8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3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0" fillId="11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11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6" fontId="3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3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7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31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6404"/>
      <rgbColor rgb="FF6B1B8B"/>
      <rgbColor rgb="FF1A6B3C"/>
      <rgbColor rgb="FFF2F4F7"/>
      <rgbColor rgb="FF808080"/>
      <rgbColor rgb="FF9999FF"/>
      <rgbColor rgb="FF993366"/>
      <rgbColor rgb="FFFFFACD"/>
      <rgbColor rgb="FFE8F5E9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D4EDDA"/>
      <rgbColor rgb="FFFFF3CD"/>
      <rgbColor rgb="FF99CCFF"/>
      <rgbColor rgb="FFFF99CC"/>
      <rgbColor rgb="FFCC99FF"/>
      <rgbColor rgb="FFFDECEA"/>
      <rgbColor rgb="FF3366FF"/>
      <rgbColor rgb="FF33CCCC"/>
      <rgbColor rgb="FF99CC00"/>
      <rgbColor rgb="FFFFC000"/>
      <rgbColor rgb="FFFF9900"/>
      <rgbColor rgb="FFFF6600"/>
      <rgbColor rgb="FF6B6B6B"/>
      <rgbColor rgb="FFC9A84C"/>
      <rgbColor rgb="FF1B3A6B"/>
      <rgbColor rgb="FF17A2B8"/>
      <rgbColor rgb="FF003300"/>
      <rgbColor rgb="FF1B5E20"/>
      <rgbColor rgb="FF8B1A1A"/>
      <rgbColor rgb="FF993366"/>
      <rgbColor rgb="FF333399"/>
      <rgbColor rgb="FF2C2C2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6B"/>
    <pageSetUpPr fitToPage="false"/>
  </sheetPr>
  <dimension ref="B1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3" min="3" style="1" width="60"/>
    <col collapsed="false" customWidth="true" hidden="false" outlineLevel="0" max="4" min="4" style="1" width="20"/>
  </cols>
  <sheetData>
    <row r="1" customFormat="false" ht="30" hidden="false" customHeight="true" outlineLevel="0" collapsed="false">
      <c r="B1" s="2" t="s">
        <v>0</v>
      </c>
      <c r="C1" s="2"/>
      <c r="D1" s="2"/>
    </row>
    <row r="2" customFormat="false" ht="15" hidden="false" customHeight="true" outlineLevel="0" collapsed="false">
      <c r="B2" s="2"/>
      <c r="C2" s="2"/>
      <c r="D2" s="2"/>
    </row>
    <row r="3" customFormat="false" ht="15" hidden="false" customHeight="true" outlineLevel="0" collapsed="false">
      <c r="B3" s="2"/>
      <c r="C3" s="2"/>
      <c r="D3" s="2"/>
    </row>
    <row r="4" customFormat="false" ht="21.75" hidden="false" customHeight="true" outlineLevel="0" collapsed="false">
      <c r="B4" s="3" t="s">
        <v>1</v>
      </c>
      <c r="C4" s="3"/>
      <c r="D4" s="3"/>
    </row>
    <row r="5" customFormat="false" ht="3.75" hidden="false" customHeight="true" outlineLevel="0" collapsed="false">
      <c r="B5" s="4"/>
      <c r="C5" s="4"/>
      <c r="D5" s="4"/>
    </row>
    <row r="6" customFormat="false" ht="21.75" hidden="false" customHeight="true" outlineLevel="0" collapsed="false">
      <c r="B6" s="5" t="s">
        <v>2</v>
      </c>
      <c r="C6" s="5"/>
      <c r="D6" s="5"/>
    </row>
    <row r="7" customFormat="false" ht="31.5" hidden="false" customHeight="true" outlineLevel="0" collapsed="false">
      <c r="B7" s="6" t="s">
        <v>3</v>
      </c>
      <c r="C7" s="7" t="s">
        <v>4</v>
      </c>
    </row>
    <row r="8" customFormat="false" ht="31.5" hidden="false" customHeight="true" outlineLevel="0" collapsed="false">
      <c r="B8" s="8" t="s">
        <v>5</v>
      </c>
      <c r="C8" s="9" t="s">
        <v>6</v>
      </c>
    </row>
    <row r="9" customFormat="false" ht="31.5" hidden="false" customHeight="true" outlineLevel="0" collapsed="false">
      <c r="B9" s="6" t="s">
        <v>7</v>
      </c>
      <c r="C9" s="7" t="s">
        <v>8</v>
      </c>
    </row>
    <row r="10" customFormat="false" ht="31.5" hidden="false" customHeight="true" outlineLevel="0" collapsed="false">
      <c r="B10" s="8" t="s">
        <v>9</v>
      </c>
      <c r="C10" s="9" t="s">
        <v>10</v>
      </c>
    </row>
    <row r="11" customFormat="false" ht="31.5" hidden="false" customHeight="true" outlineLevel="0" collapsed="false">
      <c r="B11" s="6" t="s">
        <v>11</v>
      </c>
      <c r="C11" s="7" t="s">
        <v>12</v>
      </c>
    </row>
    <row r="13" customFormat="false" ht="7.5" hidden="false" customHeight="true" outlineLevel="0" collapsed="false"/>
    <row r="14" customFormat="false" ht="15" hidden="false" customHeight="true" outlineLevel="0" collapsed="false">
      <c r="B14" s="5" t="s">
        <v>13</v>
      </c>
      <c r="C14" s="5"/>
      <c r="D14" s="5"/>
    </row>
    <row r="15" customFormat="false" ht="18" hidden="false" customHeight="true" outlineLevel="0" collapsed="false">
      <c r="B15" s="10" t="s">
        <v>14</v>
      </c>
      <c r="C15" s="11" t="s">
        <v>15</v>
      </c>
    </row>
    <row r="16" customFormat="false" ht="18" hidden="false" customHeight="true" outlineLevel="0" collapsed="false">
      <c r="B16" s="12" t="s">
        <v>16</v>
      </c>
      <c r="C16" s="11" t="s">
        <v>17</v>
      </c>
    </row>
    <row r="17" customFormat="false" ht="18" hidden="false" customHeight="true" outlineLevel="0" collapsed="false">
      <c r="B17" s="13" t="s">
        <v>18</v>
      </c>
      <c r="C17" s="11" t="s">
        <v>19</v>
      </c>
    </row>
    <row r="18" customFormat="false" ht="18" hidden="false" customHeight="true" outlineLevel="0" collapsed="false">
      <c r="B18" s="14" t="s">
        <v>20</v>
      </c>
      <c r="C18" s="11" t="s">
        <v>21</v>
      </c>
    </row>
    <row r="20" customFormat="false" ht="15" hidden="false" customHeight="true" outlineLevel="0" collapsed="false">
      <c r="B20" s="15" t="s">
        <v>22</v>
      </c>
      <c r="C20" s="15"/>
      <c r="D20" s="15"/>
    </row>
  </sheetData>
  <mergeCells count="5">
    <mergeCell ref="B1:D3"/>
    <mergeCell ref="B4:D4"/>
    <mergeCell ref="B6:D6"/>
    <mergeCell ref="B14:D14"/>
    <mergeCell ref="B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A84C"/>
    <pageSetUpPr fitToPage="false"/>
  </sheetPr>
  <dimension ref="B1:D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8"/>
    <col collapsed="false" customWidth="true" hidden="false" outlineLevel="0" max="3" min="3" style="1" width="16"/>
    <col collapsed="false" customWidth="true" hidden="false" outlineLevel="0" max="4" min="4" style="1" width="20"/>
    <col collapsed="false" customWidth="true" hidden="false" outlineLevel="0" max="5" min="5" style="1" width="10"/>
  </cols>
  <sheetData>
    <row r="1" customFormat="false" ht="27.75" hidden="false" customHeight="true" outlineLevel="0" collapsed="false">
      <c r="B1" s="16" t="s">
        <v>23</v>
      </c>
      <c r="C1" s="16"/>
      <c r="D1" s="16"/>
    </row>
    <row r="2" customFormat="false" ht="6" hidden="false" customHeight="true" outlineLevel="0" collapsed="false">
      <c r="B2" s="16"/>
      <c r="C2" s="16"/>
      <c r="D2" s="16"/>
    </row>
    <row r="3" customFormat="false" ht="21.75" hidden="false" customHeight="true" outlineLevel="0" collapsed="false">
      <c r="B3" s="17" t="s">
        <v>24</v>
      </c>
      <c r="C3" s="17"/>
      <c r="D3" s="17"/>
    </row>
    <row r="4" customFormat="false" ht="18" hidden="false" customHeight="true" outlineLevel="0" collapsed="false">
      <c r="B4" s="18" t="s">
        <v>25</v>
      </c>
      <c r="C4" s="19" t="n">
        <v>5000000</v>
      </c>
      <c r="D4" s="20" t="s">
        <v>26</v>
      </c>
    </row>
    <row r="5" customFormat="false" ht="18" hidden="false" customHeight="true" outlineLevel="0" collapsed="false">
      <c r="B5" s="18" t="s">
        <v>27</v>
      </c>
      <c r="C5" s="21" t="s">
        <v>28</v>
      </c>
      <c r="D5" s="20" t="s">
        <v>29</v>
      </c>
    </row>
    <row r="6" customFormat="false" ht="18" hidden="false" customHeight="true" outlineLevel="0" collapsed="false">
      <c r="B6" s="18" t="s">
        <v>30</v>
      </c>
      <c r="C6" s="21" t="s">
        <v>31</v>
      </c>
      <c r="D6" s="20" t="s">
        <v>32</v>
      </c>
    </row>
    <row r="7" customFormat="false" ht="7.5" hidden="false" customHeight="true" outlineLevel="0" collapsed="false"/>
    <row r="8" customFormat="false" ht="21.75" hidden="false" customHeight="true" outlineLevel="0" collapsed="false">
      <c r="B8" s="17" t="s">
        <v>33</v>
      </c>
      <c r="C8" s="17"/>
      <c r="D8" s="17"/>
    </row>
    <row r="9" customFormat="false" ht="18" hidden="false" customHeight="true" outlineLevel="0" collapsed="false">
      <c r="B9" s="18" t="s">
        <v>34</v>
      </c>
      <c r="C9" s="19" t="n">
        <v>60000</v>
      </c>
      <c r="D9" s="20" t="s">
        <v>35</v>
      </c>
    </row>
    <row r="10" customFormat="false" ht="18" hidden="false" customHeight="true" outlineLevel="0" collapsed="false">
      <c r="B10" s="18" t="s">
        <v>36</v>
      </c>
      <c r="C10" s="19" t="n">
        <v>65000</v>
      </c>
    </row>
    <row r="11" customFormat="false" ht="18" hidden="false" customHeight="true" outlineLevel="0" collapsed="false">
      <c r="B11" s="18" t="s">
        <v>37</v>
      </c>
      <c r="C11" s="19" t="n">
        <v>70000</v>
      </c>
    </row>
    <row r="12" customFormat="false" ht="18" hidden="false" customHeight="true" outlineLevel="0" collapsed="false">
      <c r="B12" s="18" t="s">
        <v>38</v>
      </c>
      <c r="C12" s="19" t="n">
        <v>75000</v>
      </c>
    </row>
    <row r="13" customFormat="false" ht="18" hidden="false" customHeight="true" outlineLevel="0" collapsed="false">
      <c r="B13" s="18" t="s">
        <v>39</v>
      </c>
      <c r="C13" s="19" t="n">
        <v>80000</v>
      </c>
    </row>
    <row r="14" customFormat="false" ht="18" hidden="false" customHeight="true" outlineLevel="0" collapsed="false">
      <c r="B14" s="18" t="s">
        <v>40</v>
      </c>
      <c r="C14" s="19" t="n">
        <v>85000</v>
      </c>
    </row>
    <row r="15" customFormat="false" ht="18" hidden="false" customHeight="true" outlineLevel="0" collapsed="false">
      <c r="B15" s="18" t="s">
        <v>41</v>
      </c>
      <c r="C15" s="19" t="n">
        <v>90000</v>
      </c>
    </row>
    <row r="16" customFormat="false" ht="18" hidden="false" customHeight="true" outlineLevel="0" collapsed="false">
      <c r="B16" s="18" t="s">
        <v>42</v>
      </c>
      <c r="C16" s="19" t="n">
        <v>95000</v>
      </c>
    </row>
    <row r="17" customFormat="false" ht="18" hidden="false" customHeight="true" outlineLevel="0" collapsed="false">
      <c r="B17" s="18" t="s">
        <v>43</v>
      </c>
      <c r="C17" s="19" t="n">
        <v>100000</v>
      </c>
    </row>
    <row r="18" customFormat="false" ht="18" hidden="false" customHeight="true" outlineLevel="0" collapsed="false">
      <c r="B18" s="18" t="s">
        <v>44</v>
      </c>
      <c r="C18" s="19" t="n">
        <v>105000</v>
      </c>
    </row>
    <row r="19" customFormat="false" ht="18" hidden="false" customHeight="true" outlineLevel="0" collapsed="false">
      <c r="B19" s="18" t="s">
        <v>45</v>
      </c>
      <c r="C19" s="19" t="n">
        <v>110000</v>
      </c>
    </row>
    <row r="20" customFormat="false" ht="18" hidden="false" customHeight="true" outlineLevel="0" collapsed="false">
      <c r="B20" s="18" t="s">
        <v>46</v>
      </c>
      <c r="C20" s="19" t="n">
        <v>120000</v>
      </c>
    </row>
    <row r="21" customFormat="false" ht="7.5" hidden="false" customHeight="true" outlineLevel="0" collapsed="false"/>
    <row r="22" customFormat="false" ht="21.75" hidden="false" customHeight="true" outlineLevel="0" collapsed="false">
      <c r="B22" s="17" t="s">
        <v>47</v>
      </c>
      <c r="C22" s="17"/>
      <c r="D22" s="17"/>
    </row>
    <row r="23" customFormat="false" ht="18" hidden="false" customHeight="true" outlineLevel="0" collapsed="false">
      <c r="B23" s="18" t="s">
        <v>48</v>
      </c>
      <c r="C23" s="22" t="n">
        <v>0.015</v>
      </c>
      <c r="D23" s="20" t="s">
        <v>49</v>
      </c>
    </row>
    <row r="24" customFormat="false" ht="18" hidden="false" customHeight="true" outlineLevel="0" collapsed="false">
      <c r="B24" s="18" t="s">
        <v>50</v>
      </c>
      <c r="C24" s="23" t="n">
        <v>0.003</v>
      </c>
      <c r="D24" s="20" t="s">
        <v>51</v>
      </c>
    </row>
    <row r="25" customFormat="false" ht="7.5" hidden="false" customHeight="true" outlineLevel="0" collapsed="false"/>
    <row r="26" customFormat="false" ht="21.75" hidden="false" customHeight="true" outlineLevel="0" collapsed="false">
      <c r="B26" s="17" t="s">
        <v>52</v>
      </c>
      <c r="C26" s="17"/>
      <c r="D26" s="17"/>
    </row>
    <row r="27" customFormat="false" ht="18" hidden="false" customHeight="true" outlineLevel="0" collapsed="false">
      <c r="B27" s="18" t="s">
        <v>53</v>
      </c>
      <c r="C27" s="22" t="n">
        <v>0.004</v>
      </c>
      <c r="D27" s="20" t="s">
        <v>54</v>
      </c>
    </row>
    <row r="28" customFormat="false" ht="7.5" hidden="false" customHeight="true" outlineLevel="0" collapsed="false"/>
    <row r="29" customFormat="false" ht="21.75" hidden="false" customHeight="true" outlineLevel="0" collapsed="false">
      <c r="B29" s="17" t="s">
        <v>55</v>
      </c>
      <c r="C29" s="17"/>
      <c r="D29" s="17"/>
    </row>
    <row r="30" customFormat="false" ht="18" hidden="false" customHeight="true" outlineLevel="0" collapsed="false">
      <c r="B30" s="18" t="s">
        <v>56</v>
      </c>
      <c r="C30" s="22" t="n">
        <v>0.008</v>
      </c>
      <c r="D30" s="20" t="s">
        <v>57</v>
      </c>
    </row>
    <row r="31" customFormat="false" ht="18" hidden="false" customHeight="true" outlineLevel="0" collapsed="false">
      <c r="B31" s="18" t="s">
        <v>58</v>
      </c>
      <c r="C31" s="23" t="n">
        <v>0.002</v>
      </c>
      <c r="D31" s="20" t="s">
        <v>59</v>
      </c>
    </row>
    <row r="32" customFormat="false" ht="7.5" hidden="false" customHeight="true" outlineLevel="0" collapsed="false"/>
    <row r="33" customFormat="false" ht="21.75" hidden="false" customHeight="true" outlineLevel="0" collapsed="false">
      <c r="B33" s="17" t="s">
        <v>60</v>
      </c>
      <c r="C33" s="17"/>
      <c r="D33" s="17"/>
    </row>
    <row r="34" customFormat="false" ht="18" hidden="false" customHeight="true" outlineLevel="0" collapsed="false">
      <c r="B34" s="18" t="s">
        <v>61</v>
      </c>
      <c r="C34" s="24" t="n">
        <v>180</v>
      </c>
      <c r="D34" s="20" t="s">
        <v>62</v>
      </c>
    </row>
    <row r="35" customFormat="false" ht="18" hidden="false" customHeight="true" outlineLevel="0" collapsed="false">
      <c r="B35" s="18" t="s">
        <v>63</v>
      </c>
      <c r="C35" s="24" t="n">
        <v>8</v>
      </c>
      <c r="D35" s="20" t="s">
        <v>64</v>
      </c>
    </row>
    <row r="36" customFormat="false" ht="18" hidden="false" customHeight="true" outlineLevel="0" collapsed="false">
      <c r="B36" s="18" t="s">
        <v>65</v>
      </c>
      <c r="C36" s="24" t="n">
        <v>2</v>
      </c>
      <c r="D36" s="20" t="s">
        <v>66</v>
      </c>
    </row>
    <row r="37" customFormat="false" ht="7.5" hidden="false" customHeight="true" outlineLevel="0" collapsed="false"/>
    <row r="38" customFormat="false" ht="21.75" hidden="false" customHeight="true" outlineLevel="0" collapsed="false">
      <c r="B38" s="17" t="s">
        <v>67</v>
      </c>
      <c r="C38" s="17"/>
      <c r="D38" s="17"/>
    </row>
    <row r="39" customFormat="false" ht="18" hidden="false" customHeight="true" outlineLevel="0" collapsed="false">
      <c r="B39" s="18" t="s">
        <v>68</v>
      </c>
      <c r="C39" s="23" t="n">
        <v>0.45</v>
      </c>
      <c r="D39" s="20" t="s">
        <v>69</v>
      </c>
    </row>
    <row r="40" customFormat="false" ht="18" hidden="false" customHeight="true" outlineLevel="0" collapsed="false">
      <c r="B40" s="18" t="s">
        <v>70</v>
      </c>
      <c r="C40" s="23" t="n">
        <v>0.35</v>
      </c>
    </row>
    <row r="41" customFormat="false" ht="18" hidden="false" customHeight="true" outlineLevel="0" collapsed="false">
      <c r="B41" s="18" t="s">
        <v>71</v>
      </c>
      <c r="C41" s="23" t="n">
        <v>0.2</v>
      </c>
    </row>
    <row r="42" customFormat="false" ht="7.5" hidden="false" customHeight="true" outlineLevel="0" collapsed="false"/>
    <row r="43" customFormat="false" ht="21.75" hidden="false" customHeight="true" outlineLevel="0" collapsed="false">
      <c r="B43" s="17" t="s">
        <v>72</v>
      </c>
      <c r="C43" s="17"/>
      <c r="D43" s="17"/>
    </row>
    <row r="44" customFormat="false" ht="18" hidden="false" customHeight="true" outlineLevel="0" collapsed="false">
      <c r="B44" s="18" t="s">
        <v>73</v>
      </c>
      <c r="C44" s="23" t="n">
        <v>1.2</v>
      </c>
      <c r="D44" s="20" t="s">
        <v>74</v>
      </c>
    </row>
    <row r="45" customFormat="false" ht="18" hidden="false" customHeight="true" outlineLevel="0" collapsed="false">
      <c r="B45" s="18" t="s">
        <v>75</v>
      </c>
      <c r="C45" s="23" t="n">
        <v>1.1</v>
      </c>
      <c r="D45" s="20" t="s">
        <v>76</v>
      </c>
    </row>
    <row r="46" customFormat="false" ht="18" hidden="false" customHeight="true" outlineLevel="0" collapsed="false">
      <c r="B46" s="18" t="s">
        <v>77</v>
      </c>
      <c r="C46" s="23" t="n">
        <v>1</v>
      </c>
      <c r="D46" s="20" t="s">
        <v>78</v>
      </c>
    </row>
    <row r="47" customFormat="false" ht="7.5" hidden="false" customHeight="true" outlineLevel="0" collapsed="false"/>
    <row r="48" customFormat="false" ht="15" hidden="false" customHeight="true" outlineLevel="0" collapsed="false">
      <c r="B48" s="25" t="s">
        <v>79</v>
      </c>
      <c r="C48" s="25"/>
      <c r="D48" s="25"/>
    </row>
  </sheetData>
  <mergeCells count="10">
    <mergeCell ref="B1:D2"/>
    <mergeCell ref="B3:D3"/>
    <mergeCell ref="B8:D8"/>
    <mergeCell ref="B22:D22"/>
    <mergeCell ref="B26:D26"/>
    <mergeCell ref="B29:D29"/>
    <mergeCell ref="B33:D33"/>
    <mergeCell ref="B38:D38"/>
    <mergeCell ref="B43:D43"/>
    <mergeCell ref="B48:D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6B3C"/>
    <pageSetUpPr fitToPage="false"/>
  </sheetPr>
  <dimension ref="B1:O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28"/>
    <col collapsed="false" customWidth="true" hidden="false" outlineLevel="0" max="14" min="3" style="1" width="10"/>
    <col collapsed="false" customWidth="true" hidden="false" outlineLevel="0" max="15" min="15" style="1" width="12"/>
  </cols>
  <sheetData>
    <row r="1" customFormat="false" ht="27.75" hidden="false" customHeight="true" outlineLevel="0" collapsed="false">
      <c r="B1" s="16" t="s">
        <v>80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customFormat="false" ht="6" hidden="false" customHeight="true" outlineLevel="0" collapsed="false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customFormat="false" ht="21.75" hidden="false" customHeight="true" outlineLevel="0" collapsed="false">
      <c r="B3" s="26" t="s">
        <v>81</v>
      </c>
      <c r="C3" s="26" t="s">
        <v>28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26" t="s">
        <v>88</v>
      </c>
      <c r="K3" s="26" t="s">
        <v>89</v>
      </c>
      <c r="L3" s="26" t="s">
        <v>90</v>
      </c>
      <c r="M3" s="26" t="s">
        <v>91</v>
      </c>
      <c r="N3" s="26" t="s">
        <v>92</v>
      </c>
      <c r="O3" s="27" t="s">
        <v>93</v>
      </c>
    </row>
    <row r="4" customFormat="false" ht="19.5" hidden="false" customHeight="true" outlineLevel="0" collapsed="false">
      <c r="B4" s="28" t="s">
        <v>94</v>
      </c>
      <c r="C4" s="29" t="n">
        <f aca="false">'⚙️ Assumptions'!C4</f>
        <v>5000000</v>
      </c>
      <c r="D4" s="29" t="n">
        <f aca="false">C10</f>
        <v>5065000</v>
      </c>
      <c r="E4" s="29" t="n">
        <f aca="false">D10</f>
        <v>5135065</v>
      </c>
      <c r="F4" s="29" t="n">
        <f aca="false">E10</f>
        <v>5210200.065</v>
      </c>
      <c r="G4" s="29" t="n">
        <f aca="false">F10</f>
        <v>5300830.665195</v>
      </c>
      <c r="H4" s="29" t="n">
        <f aca="false">G10</f>
        <v>5396733.15719059</v>
      </c>
      <c r="I4" s="29" t="n">
        <f aca="false">H10</f>
        <v>5497923.35666216</v>
      </c>
      <c r="J4" s="29" t="n">
        <f aca="false">I10</f>
        <v>5604417.12673214</v>
      </c>
      <c r="K4" s="29" t="n">
        <f aca="false">J10</f>
        <v>5716230.37811234</v>
      </c>
      <c r="L4" s="29" t="n">
        <f aca="false">K10</f>
        <v>5833379.06924668</v>
      </c>
      <c r="M4" s="29" t="n">
        <f aca="false">L10</f>
        <v>5973379.34366216</v>
      </c>
      <c r="N4" s="29" t="n">
        <f aca="false">M10</f>
        <v>6119219.61972413</v>
      </c>
      <c r="O4" s="30" t="n">
        <f aca="false">N4</f>
        <v>6119219.61972413</v>
      </c>
    </row>
    <row r="5" customFormat="false" ht="19.5" hidden="false" customHeight="true" outlineLevel="0" collapsed="false">
      <c r="B5" s="31" t="s">
        <v>95</v>
      </c>
      <c r="C5" s="32" t="n">
        <f aca="false">'⚙️ Assumptions'!C9</f>
        <v>60000</v>
      </c>
      <c r="D5" s="32" t="n">
        <f aca="false">'⚙️ Assumptions'!C10</f>
        <v>65000</v>
      </c>
      <c r="E5" s="32" t="n">
        <f aca="false">'⚙️ Assumptions'!C11</f>
        <v>70000</v>
      </c>
      <c r="F5" s="32" t="n">
        <f aca="false">'⚙️ Assumptions'!C12</f>
        <v>75000</v>
      </c>
      <c r="G5" s="32" t="n">
        <f aca="false">'⚙️ Assumptions'!C13</f>
        <v>80000</v>
      </c>
      <c r="H5" s="32" t="n">
        <f aca="false">'⚙️ Assumptions'!C14</f>
        <v>85000</v>
      </c>
      <c r="I5" s="32" t="n">
        <f aca="false">'⚙️ Assumptions'!C15</f>
        <v>90000</v>
      </c>
      <c r="J5" s="32" t="n">
        <f aca="false">'⚙️ Assumptions'!C16</f>
        <v>95000</v>
      </c>
      <c r="K5" s="32" t="n">
        <f aca="false">'⚙️ Assumptions'!C17</f>
        <v>100000</v>
      </c>
      <c r="L5" s="32" t="n">
        <f aca="false">'⚙️ Assumptions'!C18</f>
        <v>105000</v>
      </c>
      <c r="M5" s="32" t="n">
        <f aca="false">'⚙️ Assumptions'!C19</f>
        <v>110000</v>
      </c>
      <c r="N5" s="32" t="n">
        <f aca="false">'⚙️ Assumptions'!C20</f>
        <v>120000</v>
      </c>
      <c r="O5" s="33" t="n">
        <f aca="false">SUM(C5:N5)</f>
        <v>1055000</v>
      </c>
    </row>
    <row r="6" customFormat="false" ht="19.5" hidden="false" customHeight="true" outlineLevel="0" collapsed="false">
      <c r="B6" s="34" t="s">
        <v>96</v>
      </c>
      <c r="C6" s="35" t="n">
        <f aca="false">C4*'⚙️ Assumptions'!C23</f>
        <v>75000</v>
      </c>
      <c r="D6" s="35" t="n">
        <f aca="false">D4*'⚙️ Assumptions'!C23</f>
        <v>75975</v>
      </c>
      <c r="E6" s="35" t="n">
        <f aca="false">E4*'⚙️ Assumptions'!C23</f>
        <v>77025.975</v>
      </c>
      <c r="F6" s="35" t="n">
        <f aca="false">F4*'⚙️ Assumptions'!C23</f>
        <v>78153.000975</v>
      </c>
      <c r="G6" s="35" t="n">
        <f aca="false">G4*'⚙️ Assumptions'!C23</f>
        <v>79512.459977925</v>
      </c>
      <c r="H6" s="35" t="n">
        <f aca="false">H4*'⚙️ Assumptions'!C23</f>
        <v>80950.9973578588</v>
      </c>
      <c r="I6" s="35" t="n">
        <f aca="false">I4*'⚙️ Assumptions'!C23</f>
        <v>82468.8503499324</v>
      </c>
      <c r="J6" s="35" t="n">
        <f aca="false">J4*'⚙️ Assumptions'!C23</f>
        <v>84066.2569009822</v>
      </c>
      <c r="K6" s="35" t="n">
        <f aca="false">K4*'⚙️ Assumptions'!C23</f>
        <v>85743.4556716851</v>
      </c>
      <c r="L6" s="35" t="n">
        <f aca="false">L4*('⚙️ Assumptions'!C23+'⚙️ Assumptions'!C24)</f>
        <v>105000.82324644</v>
      </c>
      <c r="M6" s="35" t="n">
        <f aca="false">M4*('⚙️ Assumptions'!C23+'⚙️ Assumptions'!C24)</f>
        <v>107520.828185919</v>
      </c>
      <c r="N6" s="35" t="n">
        <f aca="false">N4*('⚙️ Assumptions'!C23+'⚙️ Assumptions'!C24)</f>
        <v>110145.953155034</v>
      </c>
      <c r="O6" s="36" t="n">
        <f aca="false">SUM(C6:N6)</f>
        <v>1041563.60082078</v>
      </c>
    </row>
    <row r="7" customFormat="false" ht="19.5" hidden="false" customHeight="true" outlineLevel="0" collapsed="false">
      <c r="B7" s="37" t="s">
        <v>97</v>
      </c>
      <c r="C7" s="38" t="n">
        <f aca="false">-C4*'⚙️ Assumptions'!C27</f>
        <v>-20000</v>
      </c>
      <c r="D7" s="38" t="n">
        <f aca="false">-D4*'⚙️ Assumptions'!C27</f>
        <v>-20260</v>
      </c>
      <c r="E7" s="38" t="n">
        <f aca="false">-E4*'⚙️ Assumptions'!C27</f>
        <v>-20540.26</v>
      </c>
      <c r="F7" s="38" t="n">
        <f aca="false">-F4*'⚙️ Assumptions'!C27</f>
        <v>-20840.80026</v>
      </c>
      <c r="G7" s="38" t="n">
        <f aca="false">-G4*'⚙️ Assumptions'!C27</f>
        <v>-21203.32266078</v>
      </c>
      <c r="H7" s="38" t="n">
        <f aca="false">-H4*'⚙️ Assumptions'!C27</f>
        <v>-21586.9326287623</v>
      </c>
      <c r="I7" s="38" t="n">
        <f aca="false">-I4*'⚙️ Assumptions'!C27</f>
        <v>-21991.6934266486</v>
      </c>
      <c r="J7" s="38" t="n">
        <f aca="false">-J4*'⚙️ Assumptions'!C27</f>
        <v>-22417.6685069286</v>
      </c>
      <c r="K7" s="38" t="n">
        <f aca="false">-K4*'⚙️ Assumptions'!C27</f>
        <v>-22864.9215124494</v>
      </c>
      <c r="L7" s="38" t="n">
        <f aca="false">-L4*'⚙️ Assumptions'!C27</f>
        <v>-23333.5162769867</v>
      </c>
      <c r="M7" s="38" t="n">
        <f aca="false">-M4*'⚙️ Assumptions'!C27</f>
        <v>-23893.5173746486</v>
      </c>
      <c r="N7" s="38" t="n">
        <f aca="false">-N4*'⚙️ Assumptions'!C27</f>
        <v>-24476.8784788965</v>
      </c>
      <c r="O7" s="39" t="n">
        <f aca="false">SUM(C7:N7)</f>
        <v>-263409.511126101</v>
      </c>
    </row>
    <row r="8" customFormat="false" ht="19.5" hidden="false" customHeight="true" outlineLevel="0" collapsed="false">
      <c r="B8" s="40" t="s">
        <v>98</v>
      </c>
      <c r="C8" s="41" t="n">
        <f aca="false">-C4*('⚙️ Assumptions'!C30+'⚙️ Assumptions'!C31)</f>
        <v>-50000</v>
      </c>
      <c r="D8" s="41" t="n">
        <f aca="false">-D4*('⚙️ Assumptions'!C30+'⚙️ Assumptions'!C31)</f>
        <v>-50650</v>
      </c>
      <c r="E8" s="41" t="n">
        <f aca="false">-E4*('⚙️ Assumptions'!C30+'⚙️ Assumptions'!C31)</f>
        <v>-51350.65</v>
      </c>
      <c r="F8" s="41" t="n">
        <f aca="false">-F4*'⚙️ Assumptions'!C30</f>
        <v>-41681.60052</v>
      </c>
      <c r="G8" s="41" t="n">
        <f aca="false">-G4*'⚙️ Assumptions'!C30</f>
        <v>-42406.64532156</v>
      </c>
      <c r="H8" s="41" t="n">
        <f aca="false">-H4*'⚙️ Assumptions'!C30</f>
        <v>-43173.8652575247</v>
      </c>
      <c r="I8" s="41" t="n">
        <f aca="false">-I4*'⚙️ Assumptions'!C30</f>
        <v>-43983.3868532973</v>
      </c>
      <c r="J8" s="41" t="n">
        <f aca="false">-J4*'⚙️ Assumptions'!C30</f>
        <v>-44835.3370138572</v>
      </c>
      <c r="K8" s="41" t="n">
        <f aca="false">-K4*'⚙️ Assumptions'!C30</f>
        <v>-45729.8430248987</v>
      </c>
      <c r="L8" s="41" t="n">
        <f aca="false">-L4*'⚙️ Assumptions'!C30</f>
        <v>-46667.0325539734</v>
      </c>
      <c r="M8" s="41" t="n">
        <f aca="false">-M4*'⚙️ Assumptions'!C30</f>
        <v>-47787.0347492973</v>
      </c>
      <c r="N8" s="41" t="n">
        <f aca="false">-N4*'⚙️ Assumptions'!C30</f>
        <v>-48953.756957793</v>
      </c>
      <c r="O8" s="42" t="n">
        <f aca="false">SUM(C8:N8)</f>
        <v>-557219.152252202</v>
      </c>
    </row>
    <row r="9" customFormat="false" ht="19.5" hidden="false" customHeight="true" outlineLevel="0" collapsed="false">
      <c r="B9" s="43" t="s">
        <v>99</v>
      </c>
      <c r="C9" s="44" t="n">
        <f aca="false">C5+C6+C7+C8</f>
        <v>65000</v>
      </c>
      <c r="D9" s="44" t="n">
        <f aca="false">D5+D6+D7+D8</f>
        <v>70065</v>
      </c>
      <c r="E9" s="44" t="n">
        <f aca="false">E5+E6+E7+E8</f>
        <v>75135.065</v>
      </c>
      <c r="F9" s="44" t="n">
        <f aca="false">F5+F6+F7+F8</f>
        <v>90630.600195</v>
      </c>
      <c r="G9" s="44" t="n">
        <f aca="false">G5+G6+G7+G8</f>
        <v>95902.491995585</v>
      </c>
      <c r="H9" s="44" t="n">
        <f aca="false">H5+H6+H7+H8</f>
        <v>101190.199471572</v>
      </c>
      <c r="I9" s="44" t="n">
        <f aca="false">I5+I6+I7+I8</f>
        <v>106493.770069986</v>
      </c>
      <c r="J9" s="44" t="n">
        <f aca="false">J5+J6+J7+J8</f>
        <v>111813.251380196</v>
      </c>
      <c r="K9" s="44" t="n">
        <f aca="false">K5+K6+K7+K8</f>
        <v>117148.691134337</v>
      </c>
      <c r="L9" s="44" t="n">
        <f aca="false">L5+L6+L7+L8</f>
        <v>140000.27441548</v>
      </c>
      <c r="M9" s="44" t="n">
        <f aca="false">M5+M6+M7+M8</f>
        <v>145840.276061973</v>
      </c>
      <c r="N9" s="44" t="n">
        <f aca="false">N5+N6+N7+N8</f>
        <v>156715.317718345</v>
      </c>
      <c r="O9" s="44" t="n">
        <f aca="false">SUM(C9:N9)</f>
        <v>1275934.93744247</v>
      </c>
    </row>
    <row r="10" customFormat="false" ht="19.5" hidden="false" customHeight="true" outlineLevel="0" collapsed="false">
      <c r="B10" s="45" t="s">
        <v>100</v>
      </c>
      <c r="C10" s="46" t="n">
        <f aca="false">C4+C9</f>
        <v>5065000</v>
      </c>
      <c r="D10" s="46" t="n">
        <f aca="false">D4+D9</f>
        <v>5135065</v>
      </c>
      <c r="E10" s="46" t="n">
        <f aca="false">E4+E9</f>
        <v>5210200.065</v>
      </c>
      <c r="F10" s="46" t="n">
        <f aca="false">F4+F9</f>
        <v>5300830.665195</v>
      </c>
      <c r="G10" s="46" t="n">
        <f aca="false">G4+G9</f>
        <v>5396733.15719059</v>
      </c>
      <c r="H10" s="46" t="n">
        <f aca="false">H4+H9</f>
        <v>5497923.35666216</v>
      </c>
      <c r="I10" s="46" t="n">
        <f aca="false">I4+I9</f>
        <v>5604417.12673214</v>
      </c>
      <c r="J10" s="46" t="n">
        <f aca="false">J4+J9</f>
        <v>5716230.37811234</v>
      </c>
      <c r="K10" s="46" t="n">
        <f aca="false">K4+K9</f>
        <v>5833379.06924668</v>
      </c>
      <c r="L10" s="46" t="n">
        <f aca="false">L4+L9</f>
        <v>5973379.34366216</v>
      </c>
      <c r="M10" s="46" t="n">
        <f aca="false">M4+M9</f>
        <v>6119219.61972413</v>
      </c>
      <c r="N10" s="46" t="n">
        <f aca="false">N4+N9</f>
        <v>6275934.93744248</v>
      </c>
      <c r="O10" s="46" t="n">
        <f aca="false">N10</f>
        <v>6275934.93744248</v>
      </c>
    </row>
    <row r="11" customFormat="false" ht="7.5" hidden="false" customHeight="true" outlineLevel="0" collapsed="false"/>
    <row r="12" customFormat="false" ht="19.5" hidden="false" customHeight="true" outlineLevel="0" collapsed="false">
      <c r="B12" s="28" t="s">
        <v>101</v>
      </c>
      <c r="C12" s="47" t="n">
        <f aca="false">IF(C4=0,0,(C4+C6+C7+C8)/C4)</f>
        <v>1.001</v>
      </c>
      <c r="D12" s="47" t="n">
        <f aca="false">IF(D4=0,0,(D4+D6+D7+D8)/D4)</f>
        <v>1.001</v>
      </c>
      <c r="E12" s="47" t="n">
        <f aca="false">IF(E4=0,0,(E4+E6+E7+E8)/E4)</f>
        <v>1.001</v>
      </c>
      <c r="F12" s="47" t="n">
        <f aca="false">IF(F4=0,0,(F4+F6+F7+F8)/F4)</f>
        <v>1.003</v>
      </c>
      <c r="G12" s="47" t="n">
        <f aca="false">IF(G4=0,0,(G4+G6+G7+G8)/G4)</f>
        <v>1.003</v>
      </c>
      <c r="H12" s="47" t="n">
        <f aca="false">IF(H4=0,0,(H4+H6+H7+H8)/H4)</f>
        <v>1.003</v>
      </c>
      <c r="I12" s="47" t="n">
        <f aca="false">IF(I4=0,0,(I4+I6+I7+I8)/I4)</f>
        <v>1.003</v>
      </c>
      <c r="J12" s="47" t="n">
        <f aca="false">IF(J4=0,0,(J4+J6+J7+J8)/J4)</f>
        <v>1.003</v>
      </c>
      <c r="K12" s="47" t="n">
        <f aca="false">IF(K4=0,0,(K4+K6+K7+K8)/K4)</f>
        <v>1.003</v>
      </c>
      <c r="L12" s="47" t="n">
        <f aca="false">IF(L4=0,0,(L4+L6+L7+L8)/L4)</f>
        <v>1.006</v>
      </c>
      <c r="M12" s="47" t="n">
        <f aca="false">IF(M4=0,0,(M4+M6+M7+M8)/M4)</f>
        <v>1.006</v>
      </c>
      <c r="N12" s="47" t="n">
        <f aca="false">IF(N4=0,0,(N4+N6+N7+N8)/N4)</f>
        <v>1.006</v>
      </c>
      <c r="O12" s="48" t="n">
        <f aca="false">N12</f>
        <v>1.006</v>
      </c>
    </row>
    <row r="13" customFormat="false" ht="19.5" hidden="false" customHeight="true" outlineLevel="0" collapsed="false">
      <c r="B13" s="28" t="s">
        <v>102</v>
      </c>
      <c r="C13" s="47" t="n">
        <f aca="false">IF(C4=0,0,(C4+C7+C8)/C4)</f>
        <v>0.986</v>
      </c>
      <c r="D13" s="47" t="n">
        <f aca="false">IF(D4=0,0,(D4+D7+D8)/D4)</f>
        <v>0.986</v>
      </c>
      <c r="E13" s="47" t="n">
        <f aca="false">IF(E4=0,0,(E4+E7+E8)/E4)</f>
        <v>0.986</v>
      </c>
      <c r="F13" s="47" t="n">
        <f aca="false">IF(F4=0,0,(F4+F7+F8)/F4)</f>
        <v>0.988</v>
      </c>
      <c r="G13" s="47" t="n">
        <f aca="false">IF(G4=0,0,(G4+G7+G8)/G4)</f>
        <v>0.988</v>
      </c>
      <c r="H13" s="47" t="n">
        <f aca="false">IF(H4=0,0,(H4+H7+H8)/H4)</f>
        <v>0.988</v>
      </c>
      <c r="I13" s="47" t="n">
        <f aca="false">IF(I4=0,0,(I4+I7+I8)/I4)</f>
        <v>0.988</v>
      </c>
      <c r="J13" s="47" t="n">
        <f aca="false">IF(J4=0,0,(J4+J7+J8)/J4)</f>
        <v>0.988</v>
      </c>
      <c r="K13" s="47" t="n">
        <f aca="false">IF(K4=0,0,(K4+K7+K8)/K4)</f>
        <v>0.988</v>
      </c>
      <c r="L13" s="47" t="n">
        <f aca="false">IF(L4=0,0,(L4+L7+L8)/L4)</f>
        <v>0.988</v>
      </c>
      <c r="M13" s="47" t="n">
        <f aca="false">IF(M4=0,0,(M4+M7+M8)/M4)</f>
        <v>0.988</v>
      </c>
      <c r="N13" s="47" t="n">
        <f aca="false">IF(N4=0,0,(N4+N7+N8)/N4)</f>
        <v>0.988</v>
      </c>
      <c r="O13" s="48" t="n">
        <f aca="false">N13</f>
        <v>0.988</v>
      </c>
    </row>
    <row r="14" customFormat="false" ht="19.5" hidden="false" customHeight="true" outlineLevel="0" collapsed="false">
      <c r="B14" s="28" t="s">
        <v>103</v>
      </c>
      <c r="C14" s="47" t="n">
        <f aca="false">IF(C4=0,0,C6/C4)</f>
        <v>0.015</v>
      </c>
      <c r="D14" s="47" t="n">
        <f aca="false">IF(D4=0,0,D6/D4)</f>
        <v>0.015</v>
      </c>
      <c r="E14" s="47" t="n">
        <f aca="false">IF(E4=0,0,E6/E4)</f>
        <v>0.015</v>
      </c>
      <c r="F14" s="47" t="n">
        <f aca="false">IF(F4=0,0,F6/F4)</f>
        <v>0.015</v>
      </c>
      <c r="G14" s="47" t="n">
        <f aca="false">IF(G4=0,0,G6/G4)</f>
        <v>0.015</v>
      </c>
      <c r="H14" s="47" t="n">
        <f aca="false">IF(H4=0,0,H6/H4)</f>
        <v>0.015</v>
      </c>
      <c r="I14" s="47" t="n">
        <f aca="false">IF(I4=0,0,I6/I4)</f>
        <v>0.015</v>
      </c>
      <c r="J14" s="47" t="n">
        <f aca="false">IF(J4=0,0,J6/J4)</f>
        <v>0.015</v>
      </c>
      <c r="K14" s="47" t="n">
        <f aca="false">IF(K4=0,0,K6/K4)</f>
        <v>0.015</v>
      </c>
      <c r="L14" s="47" t="n">
        <f aca="false">IF(L4=0,0,L6/L4)</f>
        <v>0.018</v>
      </c>
      <c r="M14" s="47" t="n">
        <f aca="false">IF(M4=0,0,M6/M4)</f>
        <v>0.018</v>
      </c>
      <c r="N14" s="47" t="n">
        <f aca="false">IF(N4=0,0,N6/N4)</f>
        <v>0.018</v>
      </c>
      <c r="O14" s="48" t="n">
        <f aca="false">N14</f>
        <v>0.018</v>
      </c>
    </row>
    <row r="15" customFormat="false" ht="19.5" hidden="false" customHeight="true" outlineLevel="0" collapsed="false">
      <c r="B15" s="28" t="s">
        <v>104</v>
      </c>
      <c r="C15" s="49" t="n">
        <f aca="false">'⚙️ Assumptions'!C34+'⚙️ Assumptions'!C35-'⚙️ Assumptions'!C36</f>
        <v>186</v>
      </c>
      <c r="D15" s="49" t="n">
        <f aca="false">C15+'⚙️ Assumptions'!C35-'⚙️ Assumptions'!C36</f>
        <v>192</v>
      </c>
      <c r="E15" s="49" t="n">
        <f aca="false">D15+'⚙️ Assumptions'!C35-'⚙️ Assumptions'!C36</f>
        <v>198</v>
      </c>
      <c r="F15" s="49" t="n">
        <f aca="false">E15+'⚙️ Assumptions'!C35-'⚙️ Assumptions'!C36</f>
        <v>204</v>
      </c>
      <c r="G15" s="49" t="n">
        <f aca="false">F15+'⚙️ Assumptions'!C35-'⚙️ Assumptions'!C36</f>
        <v>210</v>
      </c>
      <c r="H15" s="49" t="n">
        <f aca="false">G15+'⚙️ Assumptions'!C35-'⚙️ Assumptions'!C36</f>
        <v>216</v>
      </c>
      <c r="I15" s="49" t="n">
        <f aca="false">H15+'⚙️ Assumptions'!C35-'⚙️ Assumptions'!C36</f>
        <v>222</v>
      </c>
      <c r="J15" s="49" t="n">
        <f aca="false">I15+'⚙️ Assumptions'!C35-'⚙️ Assumptions'!C36</f>
        <v>228</v>
      </c>
      <c r="K15" s="49" t="n">
        <f aca="false">J15+'⚙️ Assumptions'!C35-'⚙️ Assumptions'!C36</f>
        <v>234</v>
      </c>
      <c r="L15" s="49" t="n">
        <f aca="false">K15+'⚙️ Assumptions'!C35-'⚙️ Assumptions'!C36</f>
        <v>240</v>
      </c>
      <c r="M15" s="49" t="n">
        <f aca="false">L15+'⚙️ Assumptions'!C35-'⚙️ Assumptions'!C36</f>
        <v>246</v>
      </c>
      <c r="N15" s="49" t="n">
        <f aca="false">M15+'⚙️ Assumptions'!C35-'⚙️ Assumptions'!C36</f>
        <v>252</v>
      </c>
      <c r="O15" s="50" t="n">
        <f aca="false">N15</f>
        <v>252</v>
      </c>
    </row>
  </sheetData>
  <mergeCells count="1">
    <mergeCell ref="B1:O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7A2B8"/>
    <pageSetUpPr fitToPage="false"/>
  </sheetPr>
  <dimension ref="B1:O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0"/>
    <col collapsed="false" customWidth="true" hidden="false" outlineLevel="0" max="14" min="3" style="1" width="10"/>
    <col collapsed="false" customWidth="true" hidden="false" outlineLevel="0" max="15" min="15" style="1" width="12"/>
  </cols>
  <sheetData>
    <row r="1" customFormat="false" ht="27.75" hidden="false" customHeight="true" outlineLevel="0" collapsed="false">
      <c r="B1" s="16" t="s">
        <v>105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customFormat="false" ht="6" hidden="false" customHeight="true" outlineLevel="0" collapsed="false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customFormat="false" ht="21.75" hidden="false" customHeight="true" outlineLevel="0" collapsed="false">
      <c r="B3" s="26" t="s">
        <v>106</v>
      </c>
      <c r="C3" s="26" t="s">
        <v>28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26" t="s">
        <v>88</v>
      </c>
      <c r="K3" s="26" t="s">
        <v>89</v>
      </c>
      <c r="L3" s="26" t="s">
        <v>90</v>
      </c>
      <c r="M3" s="26" t="s">
        <v>91</v>
      </c>
      <c r="N3" s="26" t="s">
        <v>92</v>
      </c>
      <c r="O3" s="27" t="s">
        <v>107</v>
      </c>
    </row>
    <row r="4" customFormat="false" ht="19.5" hidden="false" customHeight="true" outlineLevel="0" collapsed="false">
      <c r="B4" s="28" t="s">
        <v>94</v>
      </c>
      <c r="C4" s="29" t="n">
        <f aca="false">'📊 ARR Waterfall'!C4</f>
        <v>5000000</v>
      </c>
      <c r="D4" s="29" t="n">
        <f aca="false">'📊 ARR Waterfall'!D4</f>
        <v>5065000</v>
      </c>
      <c r="E4" s="29" t="n">
        <f aca="false">'📊 ARR Waterfall'!E4</f>
        <v>5135065</v>
      </c>
      <c r="F4" s="29" t="n">
        <f aca="false">'📊 ARR Waterfall'!F4</f>
        <v>5210200.065</v>
      </c>
      <c r="G4" s="29" t="n">
        <f aca="false">'📊 ARR Waterfall'!G4</f>
        <v>5300830.665195</v>
      </c>
      <c r="H4" s="29" t="n">
        <f aca="false">'📊 ARR Waterfall'!H4</f>
        <v>5396733.15719059</v>
      </c>
      <c r="I4" s="29" t="n">
        <f aca="false">'📊 ARR Waterfall'!I4</f>
        <v>5497923.35666216</v>
      </c>
      <c r="J4" s="29" t="n">
        <f aca="false">'📊 ARR Waterfall'!J4</f>
        <v>5604417.12673214</v>
      </c>
      <c r="K4" s="29" t="n">
        <f aca="false">'📊 ARR Waterfall'!K4</f>
        <v>5716230.37811234</v>
      </c>
      <c r="L4" s="29" t="n">
        <f aca="false">'📊 ARR Waterfall'!L4</f>
        <v>5833379.06924668</v>
      </c>
      <c r="M4" s="29" t="n">
        <f aca="false">'📊 ARR Waterfall'!M4</f>
        <v>5973379.34366216</v>
      </c>
      <c r="N4" s="29" t="n">
        <f aca="false">'📊 ARR Waterfall'!N4</f>
        <v>6119219.61972413</v>
      </c>
      <c r="O4" s="51" t="n">
        <f aca="false">'📊 ARR Waterfall'!O4</f>
        <v>6119219.61972413</v>
      </c>
    </row>
    <row r="5" customFormat="false" ht="19.5" hidden="false" customHeight="true" outlineLevel="0" collapsed="false">
      <c r="B5" s="28" t="s">
        <v>100</v>
      </c>
      <c r="C5" s="29" t="n">
        <f aca="false">'📊 ARR Waterfall'!C10</f>
        <v>5065000</v>
      </c>
      <c r="D5" s="29" t="n">
        <f aca="false">'📊 ARR Waterfall'!D10</f>
        <v>5135065</v>
      </c>
      <c r="E5" s="29" t="n">
        <f aca="false">'📊 ARR Waterfall'!E10</f>
        <v>5210200.065</v>
      </c>
      <c r="F5" s="29" t="n">
        <f aca="false">'📊 ARR Waterfall'!F10</f>
        <v>5300830.665195</v>
      </c>
      <c r="G5" s="29" t="n">
        <f aca="false">'📊 ARR Waterfall'!G10</f>
        <v>5396733.15719059</v>
      </c>
      <c r="H5" s="29" t="n">
        <f aca="false">'📊 ARR Waterfall'!H10</f>
        <v>5497923.35666216</v>
      </c>
      <c r="I5" s="29" t="n">
        <f aca="false">'📊 ARR Waterfall'!I10</f>
        <v>5604417.12673214</v>
      </c>
      <c r="J5" s="29" t="n">
        <f aca="false">'📊 ARR Waterfall'!J10</f>
        <v>5716230.37811234</v>
      </c>
      <c r="K5" s="29" t="n">
        <f aca="false">'📊 ARR Waterfall'!K10</f>
        <v>5833379.06924668</v>
      </c>
      <c r="L5" s="29" t="n">
        <f aca="false">'📊 ARR Waterfall'!L10</f>
        <v>5973379.34366216</v>
      </c>
      <c r="M5" s="29" t="n">
        <f aca="false">'📊 ARR Waterfall'!M10</f>
        <v>6119219.61972413</v>
      </c>
      <c r="N5" s="29" t="n">
        <f aca="false">'📊 ARR Waterfall'!N10</f>
        <v>6275934.93744248</v>
      </c>
      <c r="O5" s="51" t="n">
        <f aca="false">'📊 ARR Waterfall'!O10</f>
        <v>6275934.93744248</v>
      </c>
    </row>
    <row r="6" customFormat="false" ht="19.5" hidden="false" customHeight="true" outlineLevel="0" collapsed="false">
      <c r="B6" s="52" t="s">
        <v>108</v>
      </c>
      <c r="C6" s="53" t="n">
        <f aca="false">'📊 ARR Waterfall'!C5</f>
        <v>60000</v>
      </c>
      <c r="D6" s="53" t="n">
        <f aca="false">'📊 ARR Waterfall'!D5</f>
        <v>65000</v>
      </c>
      <c r="E6" s="53" t="n">
        <f aca="false">'📊 ARR Waterfall'!E5</f>
        <v>70000</v>
      </c>
      <c r="F6" s="53" t="n">
        <f aca="false">'📊 ARR Waterfall'!F5</f>
        <v>75000</v>
      </c>
      <c r="G6" s="53" t="n">
        <f aca="false">'📊 ARR Waterfall'!G5</f>
        <v>80000</v>
      </c>
      <c r="H6" s="53" t="n">
        <f aca="false">'📊 ARR Waterfall'!H5</f>
        <v>85000</v>
      </c>
      <c r="I6" s="53" t="n">
        <f aca="false">'📊 ARR Waterfall'!I5</f>
        <v>90000</v>
      </c>
      <c r="J6" s="53" t="n">
        <f aca="false">'📊 ARR Waterfall'!J5</f>
        <v>95000</v>
      </c>
      <c r="K6" s="53" t="n">
        <f aca="false">'📊 ARR Waterfall'!K5</f>
        <v>100000</v>
      </c>
      <c r="L6" s="53" t="n">
        <f aca="false">'📊 ARR Waterfall'!L5</f>
        <v>105000</v>
      </c>
      <c r="M6" s="53" t="n">
        <f aca="false">'📊 ARR Waterfall'!M5</f>
        <v>110000</v>
      </c>
      <c r="N6" s="53" t="n">
        <f aca="false">'📊 ARR Waterfall'!N5</f>
        <v>120000</v>
      </c>
      <c r="O6" s="54" t="n">
        <f aca="false">'📊 ARR Waterfall'!O5</f>
        <v>1055000</v>
      </c>
    </row>
    <row r="7" customFormat="false" ht="19.5" hidden="false" customHeight="true" outlineLevel="0" collapsed="false">
      <c r="B7" s="52" t="s">
        <v>109</v>
      </c>
      <c r="C7" s="53" t="n">
        <f aca="false">'📊 ARR Waterfall'!C6</f>
        <v>75000</v>
      </c>
      <c r="D7" s="53" t="n">
        <f aca="false">'📊 ARR Waterfall'!D6</f>
        <v>75975</v>
      </c>
      <c r="E7" s="53" t="n">
        <f aca="false">'📊 ARR Waterfall'!E6</f>
        <v>77025.975</v>
      </c>
      <c r="F7" s="53" t="n">
        <f aca="false">'📊 ARR Waterfall'!F6</f>
        <v>78153.000975</v>
      </c>
      <c r="G7" s="53" t="n">
        <f aca="false">'📊 ARR Waterfall'!G6</f>
        <v>79512.459977925</v>
      </c>
      <c r="H7" s="53" t="n">
        <f aca="false">'📊 ARR Waterfall'!H6</f>
        <v>80950.9973578588</v>
      </c>
      <c r="I7" s="53" t="n">
        <f aca="false">'📊 ARR Waterfall'!I6</f>
        <v>82468.8503499324</v>
      </c>
      <c r="J7" s="53" t="n">
        <f aca="false">'📊 ARR Waterfall'!J6</f>
        <v>84066.2569009822</v>
      </c>
      <c r="K7" s="53" t="n">
        <f aca="false">'📊 ARR Waterfall'!K6</f>
        <v>85743.4556716851</v>
      </c>
      <c r="L7" s="53" t="n">
        <f aca="false">'📊 ARR Waterfall'!L6</f>
        <v>105000.82324644</v>
      </c>
      <c r="M7" s="53" t="n">
        <f aca="false">'📊 ARR Waterfall'!M6</f>
        <v>107520.828185919</v>
      </c>
      <c r="N7" s="53" t="n">
        <f aca="false">'📊 ARR Waterfall'!N6</f>
        <v>110145.953155034</v>
      </c>
      <c r="O7" s="54" t="n">
        <f aca="false">'📊 ARR Waterfall'!O6</f>
        <v>1041563.60082078</v>
      </c>
    </row>
    <row r="8" customFormat="false" ht="19.5" hidden="false" customHeight="true" outlineLevel="0" collapsed="false">
      <c r="B8" s="55" t="s">
        <v>110</v>
      </c>
      <c r="C8" s="56" t="n">
        <f aca="false">'📊 ARR Waterfall'!C7</f>
        <v>-20000</v>
      </c>
      <c r="D8" s="56" t="n">
        <f aca="false">'📊 ARR Waterfall'!D7</f>
        <v>-20260</v>
      </c>
      <c r="E8" s="56" t="n">
        <f aca="false">'📊 ARR Waterfall'!E7</f>
        <v>-20540.26</v>
      </c>
      <c r="F8" s="56" t="n">
        <f aca="false">'📊 ARR Waterfall'!F7</f>
        <v>-20840.80026</v>
      </c>
      <c r="G8" s="56" t="n">
        <f aca="false">'📊 ARR Waterfall'!G7</f>
        <v>-21203.32266078</v>
      </c>
      <c r="H8" s="56" t="n">
        <f aca="false">'📊 ARR Waterfall'!H7</f>
        <v>-21586.9326287623</v>
      </c>
      <c r="I8" s="56" t="n">
        <f aca="false">'📊 ARR Waterfall'!I7</f>
        <v>-21991.6934266486</v>
      </c>
      <c r="J8" s="56" t="n">
        <f aca="false">'📊 ARR Waterfall'!J7</f>
        <v>-22417.6685069286</v>
      </c>
      <c r="K8" s="56" t="n">
        <f aca="false">'📊 ARR Waterfall'!K7</f>
        <v>-22864.9215124494</v>
      </c>
      <c r="L8" s="56" t="n">
        <f aca="false">'📊 ARR Waterfall'!L7</f>
        <v>-23333.5162769867</v>
      </c>
      <c r="M8" s="56" t="n">
        <f aca="false">'📊 ARR Waterfall'!M7</f>
        <v>-23893.5173746486</v>
      </c>
      <c r="N8" s="56" t="n">
        <f aca="false">'📊 ARR Waterfall'!N7</f>
        <v>-24476.8784788965</v>
      </c>
      <c r="O8" s="57" t="n">
        <f aca="false">'📊 ARR Waterfall'!O7</f>
        <v>-263409.511126101</v>
      </c>
    </row>
    <row r="9" customFormat="false" ht="19.5" hidden="false" customHeight="true" outlineLevel="0" collapsed="false">
      <c r="B9" s="58" t="s">
        <v>111</v>
      </c>
      <c r="C9" s="59" t="n">
        <f aca="false">'📊 ARR Waterfall'!C8</f>
        <v>-50000</v>
      </c>
      <c r="D9" s="59" t="n">
        <f aca="false">'📊 ARR Waterfall'!D8</f>
        <v>-50650</v>
      </c>
      <c r="E9" s="59" t="n">
        <f aca="false">'📊 ARR Waterfall'!E8</f>
        <v>-51350.65</v>
      </c>
      <c r="F9" s="59" t="n">
        <f aca="false">'📊 ARR Waterfall'!F8</f>
        <v>-41681.60052</v>
      </c>
      <c r="G9" s="59" t="n">
        <f aca="false">'📊 ARR Waterfall'!G8</f>
        <v>-42406.64532156</v>
      </c>
      <c r="H9" s="59" t="n">
        <f aca="false">'📊 ARR Waterfall'!H8</f>
        <v>-43173.8652575247</v>
      </c>
      <c r="I9" s="59" t="n">
        <f aca="false">'📊 ARR Waterfall'!I8</f>
        <v>-43983.3868532973</v>
      </c>
      <c r="J9" s="59" t="n">
        <f aca="false">'📊 ARR Waterfall'!J8</f>
        <v>-44835.3370138572</v>
      </c>
      <c r="K9" s="59" t="n">
        <f aca="false">'📊 ARR Waterfall'!K8</f>
        <v>-45729.8430248987</v>
      </c>
      <c r="L9" s="59" t="n">
        <f aca="false">'📊 ARR Waterfall'!L8</f>
        <v>-46667.0325539734</v>
      </c>
      <c r="M9" s="59" t="n">
        <f aca="false">'📊 ARR Waterfall'!M8</f>
        <v>-47787.0347492973</v>
      </c>
      <c r="N9" s="59" t="n">
        <f aca="false">'📊 ARR Waterfall'!N8</f>
        <v>-48953.756957793</v>
      </c>
      <c r="O9" s="60" t="n">
        <f aca="false">'📊 ARR Waterfall'!O8</f>
        <v>-557219.152252202</v>
      </c>
    </row>
    <row r="10" customFormat="false" ht="19.5" hidden="false" customHeight="true" outlineLevel="0" collapsed="false">
      <c r="B10" s="61" t="s">
        <v>101</v>
      </c>
      <c r="C10" s="62" t="n">
        <f aca="false">'📊 ARR Waterfall'!C12</f>
        <v>1.001</v>
      </c>
      <c r="D10" s="62" t="n">
        <f aca="false">'📊 ARR Waterfall'!D12</f>
        <v>1.001</v>
      </c>
      <c r="E10" s="62" t="n">
        <f aca="false">'📊 ARR Waterfall'!E12</f>
        <v>1.001</v>
      </c>
      <c r="F10" s="62" t="n">
        <f aca="false">'📊 ARR Waterfall'!F12</f>
        <v>1.003</v>
      </c>
      <c r="G10" s="62" t="n">
        <f aca="false">'📊 ARR Waterfall'!G12</f>
        <v>1.003</v>
      </c>
      <c r="H10" s="62" t="n">
        <f aca="false">'📊 ARR Waterfall'!H12</f>
        <v>1.003</v>
      </c>
      <c r="I10" s="62" t="n">
        <f aca="false">'📊 ARR Waterfall'!I12</f>
        <v>1.003</v>
      </c>
      <c r="J10" s="62" t="n">
        <f aca="false">'📊 ARR Waterfall'!J12</f>
        <v>1.003</v>
      </c>
      <c r="K10" s="62" t="n">
        <f aca="false">'📊 ARR Waterfall'!K12</f>
        <v>1.003</v>
      </c>
      <c r="L10" s="62" t="n">
        <f aca="false">'📊 ARR Waterfall'!L12</f>
        <v>1.006</v>
      </c>
      <c r="M10" s="62" t="n">
        <f aca="false">'📊 ARR Waterfall'!M12</f>
        <v>1.006</v>
      </c>
      <c r="N10" s="62" t="n">
        <f aca="false">'📊 ARR Waterfall'!N12</f>
        <v>1.006</v>
      </c>
      <c r="O10" s="63" t="n">
        <f aca="false">'📊 ARR Waterfall'!O12</f>
        <v>1.006</v>
      </c>
    </row>
    <row r="11" customFormat="false" ht="19.5" hidden="false" customHeight="true" outlineLevel="0" collapsed="false">
      <c r="B11" s="61" t="s">
        <v>112</v>
      </c>
      <c r="C11" s="62" t="n">
        <f aca="false">'📊 ARR Waterfall'!C13</f>
        <v>0.986</v>
      </c>
      <c r="D11" s="62" t="n">
        <f aca="false">'📊 ARR Waterfall'!D13</f>
        <v>0.986</v>
      </c>
      <c r="E11" s="62" t="n">
        <f aca="false">'📊 ARR Waterfall'!E13</f>
        <v>0.986</v>
      </c>
      <c r="F11" s="62" t="n">
        <f aca="false">'📊 ARR Waterfall'!F13</f>
        <v>0.988</v>
      </c>
      <c r="G11" s="62" t="n">
        <f aca="false">'📊 ARR Waterfall'!G13</f>
        <v>0.988</v>
      </c>
      <c r="H11" s="62" t="n">
        <f aca="false">'📊 ARR Waterfall'!H13</f>
        <v>0.988</v>
      </c>
      <c r="I11" s="62" t="n">
        <f aca="false">'📊 ARR Waterfall'!I13</f>
        <v>0.988</v>
      </c>
      <c r="J11" s="62" t="n">
        <f aca="false">'📊 ARR Waterfall'!J13</f>
        <v>0.988</v>
      </c>
      <c r="K11" s="62" t="n">
        <f aca="false">'📊 ARR Waterfall'!K13</f>
        <v>0.988</v>
      </c>
      <c r="L11" s="62" t="n">
        <f aca="false">'📊 ARR Waterfall'!L13</f>
        <v>0.988</v>
      </c>
      <c r="M11" s="62" t="n">
        <f aca="false">'📊 ARR Waterfall'!M13</f>
        <v>0.988</v>
      </c>
      <c r="N11" s="62" t="n">
        <f aca="false">'📊 ARR Waterfall'!N13</f>
        <v>0.988</v>
      </c>
      <c r="O11" s="63" t="n">
        <f aca="false">'📊 ARR Waterfall'!O13</f>
        <v>0.988</v>
      </c>
    </row>
    <row r="12" customFormat="false" ht="19.5" hidden="false" customHeight="true" outlineLevel="0" collapsed="false">
      <c r="B12" s="64" t="s">
        <v>113</v>
      </c>
      <c r="C12" s="65" t="n">
        <f aca="false">'📊 ARR Waterfall'!C14</f>
        <v>0.015</v>
      </c>
      <c r="D12" s="65" t="n">
        <f aca="false">'📊 ARR Waterfall'!D14</f>
        <v>0.015</v>
      </c>
      <c r="E12" s="65" t="n">
        <f aca="false">'📊 ARR Waterfall'!E14</f>
        <v>0.015</v>
      </c>
      <c r="F12" s="65" t="n">
        <f aca="false">'📊 ARR Waterfall'!F14</f>
        <v>0.015</v>
      </c>
      <c r="G12" s="65" t="n">
        <f aca="false">'📊 ARR Waterfall'!G14</f>
        <v>0.015</v>
      </c>
      <c r="H12" s="65" t="n">
        <f aca="false">'📊 ARR Waterfall'!H14</f>
        <v>0.015</v>
      </c>
      <c r="I12" s="65" t="n">
        <f aca="false">'📊 ARR Waterfall'!I14</f>
        <v>0.015</v>
      </c>
      <c r="J12" s="65" t="n">
        <f aca="false">'📊 ARR Waterfall'!J14</f>
        <v>0.015</v>
      </c>
      <c r="K12" s="65" t="n">
        <f aca="false">'📊 ARR Waterfall'!K14</f>
        <v>0.015</v>
      </c>
      <c r="L12" s="65" t="n">
        <f aca="false">'📊 ARR Waterfall'!L14</f>
        <v>0.018</v>
      </c>
      <c r="M12" s="65" t="n">
        <f aca="false">'📊 ARR Waterfall'!M14</f>
        <v>0.018</v>
      </c>
      <c r="N12" s="65" t="n">
        <f aca="false">'📊 ARR Waterfall'!N14</f>
        <v>0.018</v>
      </c>
      <c r="O12" s="63" t="n">
        <f aca="false">'📊 ARR Waterfall'!O14</f>
        <v>0.018</v>
      </c>
    </row>
    <row r="13" customFormat="false" ht="7.5" hidden="false" customHeight="true" outlineLevel="0" collapsed="false"/>
    <row r="14" customFormat="false" ht="21.75" hidden="false" customHeight="true" outlineLevel="0" collapsed="false">
      <c r="B14" s="17" t="s">
        <v>114</v>
      </c>
      <c r="C14" s="17"/>
      <c r="D14" s="17"/>
      <c r="E14" s="17"/>
      <c r="F14" s="17"/>
    </row>
    <row r="15" customFormat="false" ht="18" hidden="false" customHeight="true" outlineLevel="0" collapsed="false">
      <c r="B15" s="66" t="s">
        <v>115</v>
      </c>
      <c r="C15" s="66" t="s">
        <v>116</v>
      </c>
      <c r="D15" s="66" t="s">
        <v>117</v>
      </c>
      <c r="E15" s="66" t="s">
        <v>118</v>
      </c>
    </row>
    <row r="16" customFormat="false" ht="18" hidden="false" customHeight="true" outlineLevel="0" collapsed="false">
      <c r="B16" s="67" t="s">
        <v>119</v>
      </c>
      <c r="C16" s="31" t="s">
        <v>120</v>
      </c>
      <c r="D16" s="31" t="s">
        <v>121</v>
      </c>
      <c r="E16" s="68" t="str">
        <f aca="false">IF('📊 ARR Waterfall'!O12&gt;='⚙️ Assumptions'!C44,"✅ EXCEEDS","⬜ BELOW")</f>
        <v>⬜ BELOW</v>
      </c>
    </row>
    <row r="17" customFormat="false" ht="18" hidden="false" customHeight="true" outlineLevel="0" collapsed="false">
      <c r="B17" s="69" t="s">
        <v>122</v>
      </c>
      <c r="C17" s="70" t="s">
        <v>123</v>
      </c>
      <c r="D17" s="70" t="s">
        <v>124</v>
      </c>
      <c r="E17" s="71" t="str">
        <f aca="false">IF(AND('📊 ARR Waterfall'!O12&gt;='⚙️ Assumptions'!C45,'📊 ARR Waterfall'!O12&lt;'⚙️ Assumptions'!C44),"✅ IN RANGE","⬜ OUTSIDE")</f>
        <v>⬜ OUTSIDE</v>
      </c>
    </row>
    <row r="18" customFormat="false" ht="18" hidden="false" customHeight="true" outlineLevel="0" collapsed="false">
      <c r="B18" s="72" t="s">
        <v>125</v>
      </c>
      <c r="C18" s="37" t="s">
        <v>126</v>
      </c>
      <c r="D18" s="37" t="s">
        <v>127</v>
      </c>
      <c r="E18" s="73" t="str">
        <f aca="false">IF(AND('📊 ARR Waterfall'!O12&gt;='⚙️ Assumptions'!C46,'📊 ARR Waterfall'!O12&lt;'⚙️ Assumptions'!C45),"⚠️ IN RANGE","⬜ OUTSIDE")</f>
        <v>⚠️ IN RANGE</v>
      </c>
    </row>
    <row r="19" customFormat="false" ht="18" hidden="false" customHeight="true" outlineLevel="0" collapsed="false">
      <c r="B19" s="74" t="s">
        <v>128</v>
      </c>
      <c r="C19" s="40" t="s">
        <v>129</v>
      </c>
      <c r="D19" s="40" t="s">
        <v>130</v>
      </c>
      <c r="E19" s="75" t="str">
        <f aca="false">IF('📊 ARR Waterfall'!O12&lt;'⚙️ Assumptions'!C46,"🔴 DANGER","⬜ OK")</f>
        <v>⬜ OK</v>
      </c>
    </row>
    <row r="20" customFormat="false" ht="7.5" hidden="false" customHeight="true" outlineLevel="0" collapsed="false"/>
    <row r="21" customFormat="false" ht="21.75" hidden="false" customHeight="true" outlineLevel="0" collapsed="false">
      <c r="B21" s="17" t="s">
        <v>131</v>
      </c>
      <c r="C21" s="17"/>
      <c r="D21" s="17"/>
      <c r="E21" s="17"/>
      <c r="F21" s="17"/>
    </row>
    <row r="22" customFormat="false" ht="18" hidden="false" customHeight="true" outlineLevel="0" collapsed="false">
      <c r="B22" s="28" t="s">
        <v>132</v>
      </c>
      <c r="C22" s="76" t="n">
        <f aca="false">AVERAGE('📊 ARR Waterfall'!C12:N12)</f>
        <v>1.00325</v>
      </c>
      <c r="D22" s="77"/>
      <c r="E22" s="77"/>
      <c r="F22" s="77"/>
    </row>
    <row r="23" customFormat="false" ht="18" hidden="false" customHeight="true" outlineLevel="0" collapsed="false">
      <c r="B23" s="28" t="s">
        <v>133</v>
      </c>
      <c r="C23" s="76" t="n">
        <f aca="false">AVERAGE('📊 ARR Waterfall'!C13:N13)</f>
        <v>0.9875</v>
      </c>
      <c r="D23" s="77"/>
      <c r="E23" s="77"/>
      <c r="F23" s="77"/>
    </row>
    <row r="24" customFormat="false" ht="18" hidden="false" customHeight="true" outlineLevel="0" collapsed="false">
      <c r="B24" s="28" t="s">
        <v>134</v>
      </c>
      <c r="C24" s="78" t="n">
        <f aca="false">'📊 ARR Waterfall'!O5+'📊 ARR Waterfall'!O6</f>
        <v>2096563.60082078</v>
      </c>
      <c r="D24" s="77"/>
      <c r="E24" s="77"/>
      <c r="F24" s="77"/>
    </row>
    <row r="25" customFormat="false" ht="18" hidden="false" customHeight="true" outlineLevel="0" collapsed="false">
      <c r="B25" s="28" t="s">
        <v>135</v>
      </c>
      <c r="C25" s="78" t="n">
        <f aca="false">'📊 ARR Waterfall'!O7+'📊 ARR Waterfall'!O8</f>
        <v>-820628.663378302</v>
      </c>
      <c r="D25" s="77"/>
      <c r="E25" s="77"/>
      <c r="F25" s="77"/>
    </row>
    <row r="26" customFormat="false" ht="18" hidden="false" customHeight="true" outlineLevel="0" collapsed="false">
      <c r="B26" s="28" t="s">
        <v>136</v>
      </c>
      <c r="C26" s="78" t="n">
        <f aca="false">'📊 ARR Waterfall'!O9</f>
        <v>1275934.93744247</v>
      </c>
      <c r="D26" s="77"/>
      <c r="E26" s="77"/>
      <c r="F26" s="77"/>
    </row>
    <row r="27" customFormat="false" ht="18" hidden="false" customHeight="true" outlineLevel="0" collapsed="false">
      <c r="B27" s="28" t="s">
        <v>137</v>
      </c>
      <c r="C27" s="76" t="n">
        <f aca="false">('📊 ARR Waterfall'!N10-'📊 ARR Waterfall'!C4)/'📊 ARR Waterfall'!C4</f>
        <v>0.255186987488495</v>
      </c>
      <c r="D27" s="77"/>
      <c r="E27" s="77"/>
      <c r="F27" s="77"/>
    </row>
    <row r="28" customFormat="false" ht="18" hidden="false" customHeight="true" outlineLevel="0" collapsed="false">
      <c r="B28" s="28" t="s">
        <v>138</v>
      </c>
      <c r="C28" s="76" t="n">
        <f aca="false">IF(('📊 ARR Waterfall'!O5+'📊 ARR Waterfall'!O6)=0,0,'📊 ARR Waterfall'!O6/('📊 ARR Waterfall'!O5+'📊 ARR Waterfall'!O6))</f>
        <v>0.496795613742897</v>
      </c>
      <c r="D28" s="77"/>
      <c r="E28" s="77"/>
      <c r="F28" s="77"/>
    </row>
  </sheetData>
  <mergeCells count="10">
    <mergeCell ref="B1:O2"/>
    <mergeCell ref="B14:F14"/>
    <mergeCell ref="B21:F21"/>
    <mergeCell ref="D22:F22"/>
    <mergeCell ref="D23:F23"/>
    <mergeCell ref="D24:F24"/>
    <mergeCell ref="D25:F25"/>
    <mergeCell ref="D26:F26"/>
    <mergeCell ref="D27:F27"/>
    <mergeCell ref="D28:F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1B8B"/>
    <pageSetUpPr fitToPage="false"/>
  </sheetPr>
  <dimension ref="B1:O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2"/>
    <col collapsed="false" customWidth="true" hidden="false" outlineLevel="0" max="14" min="3" style="1" width="10"/>
    <col collapsed="false" customWidth="true" hidden="false" outlineLevel="0" max="15" min="15" style="1" width="12"/>
  </cols>
  <sheetData>
    <row r="1" customFormat="false" ht="27.75" hidden="false" customHeight="true" outlineLevel="0" collapsed="false">
      <c r="B1" s="16" t="s">
        <v>139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customFormat="false" ht="6" hidden="false" customHeight="true" outlineLevel="0" collapsed="false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customFormat="false" ht="21.75" hidden="false" customHeight="true" outlineLevel="0" collapsed="false">
      <c r="B3" s="26" t="s">
        <v>140</v>
      </c>
      <c r="C3" s="26" t="s">
        <v>28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26" t="s">
        <v>88</v>
      </c>
      <c r="K3" s="26" t="s">
        <v>89</v>
      </c>
      <c r="L3" s="26" t="s">
        <v>90</v>
      </c>
      <c r="M3" s="26" t="s">
        <v>91</v>
      </c>
      <c r="N3" s="26" t="s">
        <v>92</v>
      </c>
      <c r="O3" s="27" t="s">
        <v>93</v>
      </c>
    </row>
    <row r="4" customFormat="false" ht="19.5" hidden="false" customHeight="true" outlineLevel="0" collapsed="false">
      <c r="B4" s="79" t="s">
        <v>141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customFormat="false" ht="18" hidden="false" customHeight="true" outlineLevel="0" collapsed="false">
      <c r="B5" s="28" t="s">
        <v>142</v>
      </c>
      <c r="C5" s="29" t="n">
        <f aca="false">'📊 ARR Waterfall'!C4*'⚙️ Assumptions'!C39</f>
        <v>2250000</v>
      </c>
      <c r="D5" s="29" t="n">
        <f aca="false">'📊 ARR Waterfall'!D4*'⚙️ Assumptions'!C39</f>
        <v>2279250</v>
      </c>
      <c r="E5" s="29" t="n">
        <f aca="false">'📊 ARR Waterfall'!E4*'⚙️ Assumptions'!C39</f>
        <v>2310779.25</v>
      </c>
      <c r="F5" s="29" t="n">
        <f aca="false">'📊 ARR Waterfall'!F4*'⚙️ Assumptions'!C39</f>
        <v>2344590.02925</v>
      </c>
      <c r="G5" s="29" t="n">
        <f aca="false">'📊 ARR Waterfall'!G4*'⚙️ Assumptions'!C39</f>
        <v>2385373.79933775</v>
      </c>
      <c r="H5" s="29" t="n">
        <f aca="false">'📊 ARR Waterfall'!H4*'⚙️ Assumptions'!C39</f>
        <v>2428529.92073576</v>
      </c>
      <c r="I5" s="29" t="n">
        <f aca="false">'📊 ARR Waterfall'!I4*'⚙️ Assumptions'!C39</f>
        <v>2474065.51049797</v>
      </c>
      <c r="J5" s="29" t="n">
        <f aca="false">'📊 ARR Waterfall'!J4*'⚙️ Assumptions'!C39</f>
        <v>2521987.70702946</v>
      </c>
      <c r="K5" s="29" t="n">
        <f aca="false">'📊 ARR Waterfall'!K4*'⚙️ Assumptions'!C39</f>
        <v>2572303.67015055</v>
      </c>
      <c r="L5" s="29" t="n">
        <f aca="false">'📊 ARR Waterfall'!L4*'⚙️ Assumptions'!C39</f>
        <v>2625020.58116101</v>
      </c>
      <c r="M5" s="29" t="n">
        <f aca="false">'📊 ARR Waterfall'!M4*'⚙️ Assumptions'!C39</f>
        <v>2688020.70464797</v>
      </c>
      <c r="N5" s="29" t="n">
        <f aca="false">'📊 ARR Waterfall'!N4*'⚙️ Assumptions'!C39</f>
        <v>2753648.82887586</v>
      </c>
      <c r="O5" s="51" t="n">
        <f aca="false">'📊 ARR Waterfall'!N4*'⚙️ Assumptions'!C39</f>
        <v>2753648.82887586</v>
      </c>
    </row>
    <row r="6" customFormat="false" ht="18" hidden="false" customHeight="true" outlineLevel="0" collapsed="false">
      <c r="B6" s="52" t="s">
        <v>143</v>
      </c>
      <c r="C6" s="53" t="n">
        <f aca="false">'📊 ARR Waterfall'!C5*'⚙️ Assumptions'!C39</f>
        <v>27000</v>
      </c>
      <c r="D6" s="53" t="n">
        <f aca="false">'📊 ARR Waterfall'!D5*'⚙️ Assumptions'!C39</f>
        <v>29250</v>
      </c>
      <c r="E6" s="53" t="n">
        <f aca="false">'📊 ARR Waterfall'!E5*'⚙️ Assumptions'!C39</f>
        <v>31500</v>
      </c>
      <c r="F6" s="53" t="n">
        <f aca="false">'📊 ARR Waterfall'!F5*'⚙️ Assumptions'!C39</f>
        <v>33750</v>
      </c>
      <c r="G6" s="53" t="n">
        <f aca="false">'📊 ARR Waterfall'!G5*'⚙️ Assumptions'!C39</f>
        <v>36000</v>
      </c>
      <c r="H6" s="53" t="n">
        <f aca="false">'📊 ARR Waterfall'!H5*'⚙️ Assumptions'!C39</f>
        <v>38250</v>
      </c>
      <c r="I6" s="53" t="n">
        <f aca="false">'📊 ARR Waterfall'!I5*'⚙️ Assumptions'!C39</f>
        <v>40500</v>
      </c>
      <c r="J6" s="53" t="n">
        <f aca="false">'📊 ARR Waterfall'!J5*'⚙️ Assumptions'!C39</f>
        <v>42750</v>
      </c>
      <c r="K6" s="53" t="n">
        <f aca="false">'📊 ARR Waterfall'!K5*'⚙️ Assumptions'!C39</f>
        <v>45000</v>
      </c>
      <c r="L6" s="53" t="n">
        <f aca="false">'📊 ARR Waterfall'!L5*'⚙️ Assumptions'!C39</f>
        <v>47250</v>
      </c>
      <c r="M6" s="53" t="n">
        <f aca="false">'📊 ARR Waterfall'!M5*'⚙️ Assumptions'!C39</f>
        <v>49500</v>
      </c>
      <c r="N6" s="53" t="n">
        <f aca="false">'📊 ARR Waterfall'!N5*'⚙️ Assumptions'!C39</f>
        <v>54000</v>
      </c>
      <c r="O6" s="54" t="n">
        <f aca="false">SUM(C6:N6)</f>
        <v>474750</v>
      </c>
    </row>
    <row r="7" customFormat="false" ht="18" hidden="false" customHeight="true" outlineLevel="0" collapsed="false">
      <c r="B7" s="55" t="s">
        <v>144</v>
      </c>
      <c r="C7" s="56" t="n">
        <f aca="false">'📊 ARR Waterfall'!C6*'⚙️ Assumptions'!C39</f>
        <v>33750</v>
      </c>
      <c r="D7" s="56" t="n">
        <f aca="false">'📊 ARR Waterfall'!D6*'⚙️ Assumptions'!C39</f>
        <v>34188.75</v>
      </c>
      <c r="E7" s="56" t="n">
        <f aca="false">'📊 ARR Waterfall'!E6*'⚙️ Assumptions'!C39</f>
        <v>34661.68875</v>
      </c>
      <c r="F7" s="56" t="n">
        <f aca="false">'📊 ARR Waterfall'!F6*'⚙️ Assumptions'!C39</f>
        <v>35168.85043875</v>
      </c>
      <c r="G7" s="56" t="n">
        <f aca="false">'📊 ARR Waterfall'!G6*'⚙️ Assumptions'!C39</f>
        <v>35780.6069900663</v>
      </c>
      <c r="H7" s="56" t="n">
        <f aca="false">'📊 ARR Waterfall'!H6*'⚙️ Assumptions'!C39</f>
        <v>36427.9488110365</v>
      </c>
      <c r="I7" s="56" t="n">
        <f aca="false">'📊 ARR Waterfall'!I6*'⚙️ Assumptions'!C39</f>
        <v>37110.9826574696</v>
      </c>
      <c r="J7" s="56" t="n">
        <f aca="false">'📊 ARR Waterfall'!J6*'⚙️ Assumptions'!C39</f>
        <v>37829.815605442</v>
      </c>
      <c r="K7" s="56" t="n">
        <f aca="false">'📊 ARR Waterfall'!K6*'⚙️ Assumptions'!C39</f>
        <v>38584.5550522583</v>
      </c>
      <c r="L7" s="56" t="n">
        <f aca="false">'📊 ARR Waterfall'!L6*'⚙️ Assumptions'!C39</f>
        <v>47250.3704608981</v>
      </c>
      <c r="M7" s="56" t="n">
        <f aca="false">'📊 ARR Waterfall'!M6*'⚙️ Assumptions'!C39</f>
        <v>48384.3726836635</v>
      </c>
      <c r="N7" s="56" t="n">
        <f aca="false">'📊 ARR Waterfall'!N6*'⚙️ Assumptions'!C39</f>
        <v>49565.6789197655</v>
      </c>
      <c r="O7" s="57" t="n">
        <f aca="false">SUM(C7:N7)</f>
        <v>468703.62036935</v>
      </c>
    </row>
    <row r="8" customFormat="false" ht="18" hidden="false" customHeight="true" outlineLevel="0" collapsed="false">
      <c r="B8" s="58" t="s">
        <v>145</v>
      </c>
      <c r="C8" s="59" t="n">
        <f aca="false">'📊 ARR Waterfall'!C7*'⚙️ Assumptions'!C39</f>
        <v>-9000</v>
      </c>
      <c r="D8" s="59" t="n">
        <f aca="false">'📊 ARR Waterfall'!D7*'⚙️ Assumptions'!C39</f>
        <v>-9117</v>
      </c>
      <c r="E8" s="59" t="n">
        <f aca="false">'📊 ARR Waterfall'!E7*'⚙️ Assumptions'!C39</f>
        <v>-9243.117</v>
      </c>
      <c r="F8" s="59" t="n">
        <f aca="false">'📊 ARR Waterfall'!F7*'⚙️ Assumptions'!C39</f>
        <v>-9378.360117</v>
      </c>
      <c r="G8" s="59" t="n">
        <f aca="false">'📊 ARR Waterfall'!G7*'⚙️ Assumptions'!C39</f>
        <v>-9541.495197351</v>
      </c>
      <c r="H8" s="59" t="n">
        <f aca="false">'📊 ARR Waterfall'!H7*'⚙️ Assumptions'!C39</f>
        <v>-9714.11968294305</v>
      </c>
      <c r="I8" s="59" t="n">
        <f aca="false">'📊 ARR Waterfall'!I7*'⚙️ Assumptions'!C39</f>
        <v>-9896.26204199188</v>
      </c>
      <c r="J8" s="59" t="n">
        <f aca="false">'📊 ARR Waterfall'!J7*'⚙️ Assumptions'!C39</f>
        <v>-10087.9508281179</v>
      </c>
      <c r="K8" s="59" t="n">
        <f aca="false">'📊 ARR Waterfall'!K7*'⚙️ Assumptions'!C39</f>
        <v>-10289.2146806022</v>
      </c>
      <c r="L8" s="59" t="n">
        <f aca="false">'📊 ARR Waterfall'!L7*'⚙️ Assumptions'!C39</f>
        <v>-10500.082324644</v>
      </c>
      <c r="M8" s="59" t="n">
        <f aca="false">'📊 ARR Waterfall'!M7*'⚙️ Assumptions'!C39</f>
        <v>-10752.0828185919</v>
      </c>
      <c r="N8" s="59" t="n">
        <f aca="false">'📊 ARR Waterfall'!N7*'⚙️ Assumptions'!C39</f>
        <v>-11014.5953155034</v>
      </c>
      <c r="O8" s="60" t="n">
        <f aca="false">SUM(C8:N8)</f>
        <v>-118534.280006745</v>
      </c>
    </row>
    <row r="9" customFormat="false" ht="18" hidden="false" customHeight="true" outlineLevel="0" collapsed="false">
      <c r="B9" s="64" t="s">
        <v>146</v>
      </c>
      <c r="C9" s="80" t="n">
        <f aca="false">'📊 ARR Waterfall'!C8*'⚙️ Assumptions'!C39</f>
        <v>-22500</v>
      </c>
      <c r="D9" s="80" t="n">
        <f aca="false">'📊 ARR Waterfall'!D8*'⚙️ Assumptions'!C39</f>
        <v>-22792.5</v>
      </c>
      <c r="E9" s="80" t="n">
        <f aca="false">'📊 ARR Waterfall'!E8*'⚙️ Assumptions'!C39</f>
        <v>-23107.7925</v>
      </c>
      <c r="F9" s="80" t="n">
        <f aca="false">'📊 ARR Waterfall'!F8*'⚙️ Assumptions'!C39</f>
        <v>-18756.720234</v>
      </c>
      <c r="G9" s="80" t="n">
        <f aca="false">'📊 ARR Waterfall'!G8*'⚙️ Assumptions'!C39</f>
        <v>-19082.990394702</v>
      </c>
      <c r="H9" s="80" t="n">
        <f aca="false">'📊 ARR Waterfall'!H8*'⚙️ Assumptions'!C39</f>
        <v>-19428.2393658861</v>
      </c>
      <c r="I9" s="80" t="n">
        <f aca="false">'📊 ARR Waterfall'!I8*'⚙️ Assumptions'!C39</f>
        <v>-19792.5240839838</v>
      </c>
      <c r="J9" s="80" t="n">
        <f aca="false">'📊 ARR Waterfall'!J8*'⚙️ Assumptions'!C39</f>
        <v>-20175.9016562357</v>
      </c>
      <c r="K9" s="80" t="n">
        <f aca="false">'📊 ARR Waterfall'!K8*'⚙️ Assumptions'!C39</f>
        <v>-20578.4293612044</v>
      </c>
      <c r="L9" s="80" t="n">
        <f aca="false">'📊 ARR Waterfall'!L8*'⚙️ Assumptions'!C39</f>
        <v>-21000.164649288</v>
      </c>
      <c r="M9" s="80" t="n">
        <f aca="false">'📊 ARR Waterfall'!M8*'⚙️ Assumptions'!C39</f>
        <v>-21504.1656371838</v>
      </c>
      <c r="N9" s="80" t="n">
        <f aca="false">'📊 ARR Waterfall'!N8*'⚙️ Assumptions'!C39</f>
        <v>-22029.1906310069</v>
      </c>
      <c r="O9" s="81" t="n">
        <f aca="false">SUM(C9:N9)</f>
        <v>-250748.618513491</v>
      </c>
    </row>
    <row r="10" customFormat="false" ht="7.5" hidden="false" customHeight="true" outlineLevel="0" collapsed="false"/>
    <row r="11" customFormat="false" ht="19.5" hidden="false" customHeight="true" outlineLevel="0" collapsed="false">
      <c r="B11" s="82" t="s">
        <v>147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</row>
    <row r="12" customFormat="false" ht="18" hidden="false" customHeight="true" outlineLevel="0" collapsed="false">
      <c r="B12" s="28" t="s">
        <v>142</v>
      </c>
      <c r="C12" s="29" t="n">
        <f aca="false">'📊 ARR Waterfall'!C4*'⚙️ Assumptions'!C40</f>
        <v>1750000</v>
      </c>
      <c r="D12" s="29" t="n">
        <f aca="false">'📊 ARR Waterfall'!D4*'⚙️ Assumptions'!C40</f>
        <v>1772750</v>
      </c>
      <c r="E12" s="29" t="n">
        <f aca="false">'📊 ARR Waterfall'!E4*'⚙️ Assumptions'!C40</f>
        <v>1797272.75</v>
      </c>
      <c r="F12" s="29" t="n">
        <f aca="false">'📊 ARR Waterfall'!F4*'⚙️ Assumptions'!C40</f>
        <v>1823570.02275</v>
      </c>
      <c r="G12" s="29" t="n">
        <f aca="false">'📊 ARR Waterfall'!G4*'⚙️ Assumptions'!C40</f>
        <v>1855290.73281825</v>
      </c>
      <c r="H12" s="29" t="n">
        <f aca="false">'📊 ARR Waterfall'!H4*'⚙️ Assumptions'!C40</f>
        <v>1888856.6050167</v>
      </c>
      <c r="I12" s="29" t="n">
        <f aca="false">'📊 ARR Waterfall'!I4*'⚙️ Assumptions'!C40</f>
        <v>1924273.17483175</v>
      </c>
      <c r="J12" s="29" t="n">
        <f aca="false">'📊 ARR Waterfall'!J4*'⚙️ Assumptions'!C40</f>
        <v>1961545.99435625</v>
      </c>
      <c r="K12" s="29" t="n">
        <f aca="false">'📊 ARR Waterfall'!K4*'⚙️ Assumptions'!C40</f>
        <v>2000680.63233932</v>
      </c>
      <c r="L12" s="29" t="n">
        <f aca="false">'📊 ARR Waterfall'!L4*'⚙️ Assumptions'!C40</f>
        <v>2041682.67423634</v>
      </c>
      <c r="M12" s="29" t="n">
        <f aca="false">'📊 ARR Waterfall'!M4*'⚙️ Assumptions'!C40</f>
        <v>2090682.77028176</v>
      </c>
      <c r="N12" s="29" t="n">
        <f aca="false">'📊 ARR Waterfall'!N4*'⚙️ Assumptions'!C40</f>
        <v>2141726.86690345</v>
      </c>
      <c r="O12" s="51" t="n">
        <f aca="false">'📊 ARR Waterfall'!N4*'⚙️ Assumptions'!C40</f>
        <v>2141726.86690345</v>
      </c>
    </row>
    <row r="13" customFormat="false" ht="18" hidden="false" customHeight="true" outlineLevel="0" collapsed="false">
      <c r="B13" s="52" t="s">
        <v>143</v>
      </c>
      <c r="C13" s="53" t="n">
        <f aca="false">'📊 ARR Waterfall'!C5*'⚙️ Assumptions'!C40</f>
        <v>21000</v>
      </c>
      <c r="D13" s="53" t="n">
        <f aca="false">'📊 ARR Waterfall'!D5*'⚙️ Assumptions'!C40</f>
        <v>22750</v>
      </c>
      <c r="E13" s="53" t="n">
        <f aca="false">'📊 ARR Waterfall'!E5*'⚙️ Assumptions'!C40</f>
        <v>24500</v>
      </c>
      <c r="F13" s="53" t="n">
        <f aca="false">'📊 ARR Waterfall'!F5*'⚙️ Assumptions'!C40</f>
        <v>26250</v>
      </c>
      <c r="G13" s="53" t="n">
        <f aca="false">'📊 ARR Waterfall'!G5*'⚙️ Assumptions'!C40</f>
        <v>28000</v>
      </c>
      <c r="H13" s="53" t="n">
        <f aca="false">'📊 ARR Waterfall'!H5*'⚙️ Assumptions'!C40</f>
        <v>29750</v>
      </c>
      <c r="I13" s="53" t="n">
        <f aca="false">'📊 ARR Waterfall'!I5*'⚙️ Assumptions'!C40</f>
        <v>31500</v>
      </c>
      <c r="J13" s="53" t="n">
        <f aca="false">'📊 ARR Waterfall'!J5*'⚙️ Assumptions'!C40</f>
        <v>33250</v>
      </c>
      <c r="K13" s="53" t="n">
        <f aca="false">'📊 ARR Waterfall'!K5*'⚙️ Assumptions'!C40</f>
        <v>35000</v>
      </c>
      <c r="L13" s="53" t="n">
        <f aca="false">'📊 ARR Waterfall'!L5*'⚙️ Assumptions'!C40</f>
        <v>36750</v>
      </c>
      <c r="M13" s="53" t="n">
        <f aca="false">'📊 ARR Waterfall'!M5*'⚙️ Assumptions'!C40</f>
        <v>38500</v>
      </c>
      <c r="N13" s="53" t="n">
        <f aca="false">'📊 ARR Waterfall'!N5*'⚙️ Assumptions'!C40</f>
        <v>42000</v>
      </c>
      <c r="O13" s="54" t="n">
        <f aca="false">SUM(C13:N13)</f>
        <v>369250</v>
      </c>
    </row>
    <row r="14" customFormat="false" ht="18" hidden="false" customHeight="true" outlineLevel="0" collapsed="false">
      <c r="B14" s="55" t="s">
        <v>144</v>
      </c>
      <c r="C14" s="56" t="n">
        <f aca="false">'📊 ARR Waterfall'!C6*'⚙️ Assumptions'!C40</f>
        <v>26250</v>
      </c>
      <c r="D14" s="56" t="n">
        <f aca="false">'📊 ARR Waterfall'!D6*'⚙️ Assumptions'!C40</f>
        <v>26591.25</v>
      </c>
      <c r="E14" s="56" t="n">
        <f aca="false">'📊 ARR Waterfall'!E6*'⚙️ Assumptions'!C40</f>
        <v>26959.09125</v>
      </c>
      <c r="F14" s="56" t="n">
        <f aca="false">'📊 ARR Waterfall'!F6*'⚙️ Assumptions'!C40</f>
        <v>27353.55034125</v>
      </c>
      <c r="G14" s="56" t="n">
        <f aca="false">'📊 ARR Waterfall'!G6*'⚙️ Assumptions'!C40</f>
        <v>27829.3609922738</v>
      </c>
      <c r="H14" s="56" t="n">
        <f aca="false">'📊 ARR Waterfall'!H6*'⚙️ Assumptions'!C40</f>
        <v>28332.8490752506</v>
      </c>
      <c r="I14" s="56" t="n">
        <f aca="false">'📊 ARR Waterfall'!I6*'⚙️ Assumptions'!C40</f>
        <v>28864.0976224763</v>
      </c>
      <c r="J14" s="56" t="n">
        <f aca="false">'📊 ARR Waterfall'!J6*'⚙️ Assumptions'!C40</f>
        <v>29423.1899153437</v>
      </c>
      <c r="K14" s="56" t="n">
        <f aca="false">'📊 ARR Waterfall'!K6*'⚙️ Assumptions'!C40</f>
        <v>30010.2094850898</v>
      </c>
      <c r="L14" s="56" t="n">
        <f aca="false">'📊 ARR Waterfall'!L6*'⚙️ Assumptions'!C40</f>
        <v>36750.2881362541</v>
      </c>
      <c r="M14" s="56" t="n">
        <f aca="false">'📊 ARR Waterfall'!M6*'⚙️ Assumptions'!C40</f>
        <v>37632.2898650716</v>
      </c>
      <c r="N14" s="56" t="n">
        <f aca="false">'📊 ARR Waterfall'!N6*'⚙️ Assumptions'!C40</f>
        <v>38551.083604262</v>
      </c>
      <c r="O14" s="57" t="n">
        <f aca="false">SUM(C14:N14)</f>
        <v>364547.260287272</v>
      </c>
    </row>
    <row r="15" customFormat="false" ht="18" hidden="false" customHeight="true" outlineLevel="0" collapsed="false">
      <c r="B15" s="58" t="s">
        <v>145</v>
      </c>
      <c r="C15" s="59" t="n">
        <f aca="false">'📊 ARR Waterfall'!C7*'⚙️ Assumptions'!C40</f>
        <v>-7000</v>
      </c>
      <c r="D15" s="59" t="n">
        <f aca="false">'📊 ARR Waterfall'!D7*'⚙️ Assumptions'!C40</f>
        <v>-7091</v>
      </c>
      <c r="E15" s="59" t="n">
        <f aca="false">'📊 ARR Waterfall'!E7*'⚙️ Assumptions'!C40</f>
        <v>-7189.091</v>
      </c>
      <c r="F15" s="59" t="n">
        <f aca="false">'📊 ARR Waterfall'!F7*'⚙️ Assumptions'!C40</f>
        <v>-7294.280091</v>
      </c>
      <c r="G15" s="59" t="n">
        <f aca="false">'📊 ARR Waterfall'!G7*'⚙️ Assumptions'!C40</f>
        <v>-7421.162931273</v>
      </c>
      <c r="H15" s="59" t="n">
        <f aca="false">'📊 ARR Waterfall'!H7*'⚙️ Assumptions'!C40</f>
        <v>-7555.42642006682</v>
      </c>
      <c r="I15" s="59" t="n">
        <f aca="false">'📊 ARR Waterfall'!I7*'⚙️ Assumptions'!C40</f>
        <v>-7697.09269932702</v>
      </c>
      <c r="J15" s="59" t="n">
        <f aca="false">'📊 ARR Waterfall'!J7*'⚙️ Assumptions'!C40</f>
        <v>-7846.183977425</v>
      </c>
      <c r="K15" s="59" t="n">
        <f aca="false">'📊 ARR Waterfall'!K7*'⚙️ Assumptions'!C40</f>
        <v>-8002.72252935728</v>
      </c>
      <c r="L15" s="59" t="n">
        <f aca="false">'📊 ARR Waterfall'!L7*'⚙️ Assumptions'!C40</f>
        <v>-8166.73069694535</v>
      </c>
      <c r="M15" s="59" t="n">
        <f aca="false">'📊 ARR Waterfall'!M7*'⚙️ Assumptions'!C40</f>
        <v>-8362.73108112702</v>
      </c>
      <c r="N15" s="59" t="n">
        <f aca="false">'📊 ARR Waterfall'!N7*'⚙️ Assumptions'!C40</f>
        <v>-8566.90746761378</v>
      </c>
      <c r="O15" s="60" t="n">
        <f aca="false">SUM(C15:N15)</f>
        <v>-92193.3288941353</v>
      </c>
    </row>
    <row r="16" customFormat="false" ht="18" hidden="false" customHeight="true" outlineLevel="0" collapsed="false">
      <c r="B16" s="64" t="s">
        <v>146</v>
      </c>
      <c r="C16" s="80" t="n">
        <f aca="false">'📊 ARR Waterfall'!C8*'⚙️ Assumptions'!C40</f>
        <v>-17500</v>
      </c>
      <c r="D16" s="80" t="n">
        <f aca="false">'📊 ARR Waterfall'!D8*'⚙️ Assumptions'!C40</f>
        <v>-17727.5</v>
      </c>
      <c r="E16" s="80" t="n">
        <f aca="false">'📊 ARR Waterfall'!E8*'⚙️ Assumptions'!C40</f>
        <v>-17972.7275</v>
      </c>
      <c r="F16" s="80" t="n">
        <f aca="false">'📊 ARR Waterfall'!F8*'⚙️ Assumptions'!C40</f>
        <v>-14588.560182</v>
      </c>
      <c r="G16" s="80" t="n">
        <f aca="false">'📊 ARR Waterfall'!G8*'⚙️ Assumptions'!C40</f>
        <v>-14842.325862546</v>
      </c>
      <c r="H16" s="80" t="n">
        <f aca="false">'📊 ARR Waterfall'!H8*'⚙️ Assumptions'!C40</f>
        <v>-15110.8528401336</v>
      </c>
      <c r="I16" s="80" t="n">
        <f aca="false">'📊 ARR Waterfall'!I8*'⚙️ Assumptions'!C40</f>
        <v>-15394.185398654</v>
      </c>
      <c r="J16" s="80" t="n">
        <f aca="false">'📊 ARR Waterfall'!J8*'⚙️ Assumptions'!C40</f>
        <v>-15692.36795485</v>
      </c>
      <c r="K16" s="80" t="n">
        <f aca="false">'📊 ARR Waterfall'!K8*'⚙️ Assumptions'!C40</f>
        <v>-16005.4450587146</v>
      </c>
      <c r="L16" s="80" t="n">
        <f aca="false">'📊 ARR Waterfall'!L8*'⚙️ Assumptions'!C40</f>
        <v>-16333.4613938907</v>
      </c>
      <c r="M16" s="80" t="n">
        <f aca="false">'📊 ARR Waterfall'!M8*'⚙️ Assumptions'!C40</f>
        <v>-16725.462162254</v>
      </c>
      <c r="N16" s="80" t="n">
        <f aca="false">'📊 ARR Waterfall'!N8*'⚙️ Assumptions'!C40</f>
        <v>-17133.8149352276</v>
      </c>
      <c r="O16" s="81" t="n">
        <f aca="false">SUM(C16:N16)</f>
        <v>-195026.703288271</v>
      </c>
    </row>
    <row r="17" customFormat="false" ht="7.5" hidden="false" customHeight="true" outlineLevel="0" collapsed="false"/>
    <row r="18" customFormat="false" ht="19.5" hidden="false" customHeight="true" outlineLevel="0" collapsed="false">
      <c r="B18" s="83" t="s">
        <v>148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customFormat="false" ht="18" hidden="false" customHeight="true" outlineLevel="0" collapsed="false">
      <c r="B19" s="28" t="s">
        <v>142</v>
      </c>
      <c r="C19" s="29" t="n">
        <f aca="false">'📊 ARR Waterfall'!C4*'⚙️ Assumptions'!C41</f>
        <v>1000000</v>
      </c>
      <c r="D19" s="29" t="n">
        <f aca="false">'📊 ARR Waterfall'!D4*'⚙️ Assumptions'!C41</f>
        <v>1013000</v>
      </c>
      <c r="E19" s="29" t="n">
        <f aca="false">'📊 ARR Waterfall'!E4*'⚙️ Assumptions'!C41</f>
        <v>1027013</v>
      </c>
      <c r="F19" s="29" t="n">
        <f aca="false">'📊 ARR Waterfall'!F4*'⚙️ Assumptions'!C41</f>
        <v>1042040.013</v>
      </c>
      <c r="G19" s="29" t="n">
        <f aca="false">'📊 ARR Waterfall'!G4*'⚙️ Assumptions'!C41</f>
        <v>1060166.133039</v>
      </c>
      <c r="H19" s="29" t="n">
        <f aca="false">'📊 ARR Waterfall'!H4*'⚙️ Assumptions'!C41</f>
        <v>1079346.63143812</v>
      </c>
      <c r="I19" s="29" t="n">
        <f aca="false">'📊 ARR Waterfall'!I4*'⚙️ Assumptions'!C41</f>
        <v>1099584.67133243</v>
      </c>
      <c r="J19" s="29" t="n">
        <f aca="false">'📊 ARR Waterfall'!J4*'⚙️ Assumptions'!C41</f>
        <v>1120883.42534643</v>
      </c>
      <c r="K19" s="29" t="n">
        <f aca="false">'📊 ARR Waterfall'!K4*'⚙️ Assumptions'!C41</f>
        <v>1143246.07562247</v>
      </c>
      <c r="L19" s="29" t="n">
        <f aca="false">'📊 ARR Waterfall'!L4*'⚙️ Assumptions'!C41</f>
        <v>1166675.81384934</v>
      </c>
      <c r="M19" s="29" t="n">
        <f aca="false">'📊 ARR Waterfall'!M4*'⚙️ Assumptions'!C41</f>
        <v>1194675.86873243</v>
      </c>
      <c r="N19" s="29" t="n">
        <f aca="false">'📊 ARR Waterfall'!N4*'⚙️ Assumptions'!C41</f>
        <v>1223843.92394483</v>
      </c>
      <c r="O19" s="51" t="n">
        <f aca="false">'📊 ARR Waterfall'!N4*'⚙️ Assumptions'!C41</f>
        <v>1223843.92394483</v>
      </c>
    </row>
    <row r="20" customFormat="false" ht="18" hidden="false" customHeight="true" outlineLevel="0" collapsed="false">
      <c r="B20" s="52" t="s">
        <v>143</v>
      </c>
      <c r="C20" s="53" t="n">
        <f aca="false">'📊 ARR Waterfall'!C5*'⚙️ Assumptions'!C41</f>
        <v>12000</v>
      </c>
      <c r="D20" s="53" t="n">
        <f aca="false">'📊 ARR Waterfall'!D5*'⚙️ Assumptions'!C41</f>
        <v>13000</v>
      </c>
      <c r="E20" s="53" t="n">
        <f aca="false">'📊 ARR Waterfall'!E5*'⚙️ Assumptions'!C41</f>
        <v>14000</v>
      </c>
      <c r="F20" s="53" t="n">
        <f aca="false">'📊 ARR Waterfall'!F5*'⚙️ Assumptions'!C41</f>
        <v>15000</v>
      </c>
      <c r="G20" s="53" t="n">
        <f aca="false">'📊 ARR Waterfall'!G5*'⚙️ Assumptions'!C41</f>
        <v>16000</v>
      </c>
      <c r="H20" s="53" t="n">
        <f aca="false">'📊 ARR Waterfall'!H5*'⚙️ Assumptions'!C41</f>
        <v>17000</v>
      </c>
      <c r="I20" s="53" t="n">
        <f aca="false">'📊 ARR Waterfall'!I5*'⚙️ Assumptions'!C41</f>
        <v>18000</v>
      </c>
      <c r="J20" s="53" t="n">
        <f aca="false">'📊 ARR Waterfall'!J5*'⚙️ Assumptions'!C41</f>
        <v>19000</v>
      </c>
      <c r="K20" s="53" t="n">
        <f aca="false">'📊 ARR Waterfall'!K5*'⚙️ Assumptions'!C41</f>
        <v>20000</v>
      </c>
      <c r="L20" s="53" t="n">
        <f aca="false">'📊 ARR Waterfall'!L5*'⚙️ Assumptions'!C41</f>
        <v>21000</v>
      </c>
      <c r="M20" s="53" t="n">
        <f aca="false">'📊 ARR Waterfall'!M5*'⚙️ Assumptions'!C41</f>
        <v>22000</v>
      </c>
      <c r="N20" s="53" t="n">
        <f aca="false">'📊 ARR Waterfall'!N5*'⚙️ Assumptions'!C41</f>
        <v>24000</v>
      </c>
      <c r="O20" s="54" t="n">
        <f aca="false">SUM(C20:N20)</f>
        <v>211000</v>
      </c>
    </row>
    <row r="21" customFormat="false" ht="18" hidden="false" customHeight="true" outlineLevel="0" collapsed="false">
      <c r="B21" s="55" t="s">
        <v>144</v>
      </c>
      <c r="C21" s="56" t="n">
        <f aca="false">'📊 ARR Waterfall'!C6*'⚙️ Assumptions'!C41</f>
        <v>15000</v>
      </c>
      <c r="D21" s="56" t="n">
        <f aca="false">'📊 ARR Waterfall'!D6*'⚙️ Assumptions'!C41</f>
        <v>15195</v>
      </c>
      <c r="E21" s="56" t="n">
        <f aca="false">'📊 ARR Waterfall'!E6*'⚙️ Assumptions'!C41</f>
        <v>15405.195</v>
      </c>
      <c r="F21" s="56" t="n">
        <f aca="false">'📊 ARR Waterfall'!F6*'⚙️ Assumptions'!C41</f>
        <v>15630.600195</v>
      </c>
      <c r="G21" s="56" t="n">
        <f aca="false">'📊 ARR Waterfall'!G6*'⚙️ Assumptions'!C41</f>
        <v>15902.491995585</v>
      </c>
      <c r="H21" s="56" t="n">
        <f aca="false">'📊 ARR Waterfall'!H6*'⚙️ Assumptions'!C41</f>
        <v>16190.1994715718</v>
      </c>
      <c r="I21" s="56" t="n">
        <f aca="false">'📊 ARR Waterfall'!I6*'⚙️ Assumptions'!C41</f>
        <v>16493.7700699865</v>
      </c>
      <c r="J21" s="56" t="n">
        <f aca="false">'📊 ARR Waterfall'!J6*'⚙️ Assumptions'!C41</f>
        <v>16813.2513801964</v>
      </c>
      <c r="K21" s="56" t="n">
        <f aca="false">'📊 ARR Waterfall'!K6*'⚙️ Assumptions'!C41</f>
        <v>17148.691134337</v>
      </c>
      <c r="L21" s="56" t="n">
        <f aca="false">'📊 ARR Waterfall'!L6*'⚙️ Assumptions'!C41</f>
        <v>21000.164649288</v>
      </c>
      <c r="M21" s="56" t="n">
        <f aca="false">'📊 ARR Waterfall'!M6*'⚙️ Assumptions'!C41</f>
        <v>21504.1656371838</v>
      </c>
      <c r="N21" s="56" t="n">
        <f aca="false">'📊 ARR Waterfall'!N6*'⚙️ Assumptions'!C41</f>
        <v>22029.1906310069</v>
      </c>
      <c r="O21" s="57" t="n">
        <f aca="false">SUM(C21:N21)</f>
        <v>208312.720164155</v>
      </c>
    </row>
    <row r="22" customFormat="false" ht="18" hidden="false" customHeight="true" outlineLevel="0" collapsed="false">
      <c r="B22" s="58" t="s">
        <v>145</v>
      </c>
      <c r="C22" s="59" t="n">
        <f aca="false">'📊 ARR Waterfall'!C7*'⚙️ Assumptions'!C41</f>
        <v>-4000</v>
      </c>
      <c r="D22" s="59" t="n">
        <f aca="false">'📊 ARR Waterfall'!D7*'⚙️ Assumptions'!C41</f>
        <v>-4052</v>
      </c>
      <c r="E22" s="59" t="n">
        <f aca="false">'📊 ARR Waterfall'!E7*'⚙️ Assumptions'!C41</f>
        <v>-4108.052</v>
      </c>
      <c r="F22" s="59" t="n">
        <f aca="false">'📊 ARR Waterfall'!F7*'⚙️ Assumptions'!C41</f>
        <v>-4168.160052</v>
      </c>
      <c r="G22" s="59" t="n">
        <f aca="false">'📊 ARR Waterfall'!G7*'⚙️ Assumptions'!C41</f>
        <v>-4240.664532156</v>
      </c>
      <c r="H22" s="59" t="n">
        <f aca="false">'📊 ARR Waterfall'!H7*'⚙️ Assumptions'!C41</f>
        <v>-4317.38652575247</v>
      </c>
      <c r="I22" s="59" t="n">
        <f aca="false">'📊 ARR Waterfall'!I7*'⚙️ Assumptions'!C41</f>
        <v>-4398.33868532973</v>
      </c>
      <c r="J22" s="59" t="n">
        <f aca="false">'📊 ARR Waterfall'!J7*'⚙️ Assumptions'!C41</f>
        <v>-4483.53370138572</v>
      </c>
      <c r="K22" s="59" t="n">
        <f aca="false">'📊 ARR Waterfall'!K7*'⚙️ Assumptions'!C41</f>
        <v>-4572.98430248987</v>
      </c>
      <c r="L22" s="59" t="n">
        <f aca="false">'📊 ARR Waterfall'!L7*'⚙️ Assumptions'!C41</f>
        <v>-4666.70325539734</v>
      </c>
      <c r="M22" s="59" t="n">
        <f aca="false">'📊 ARR Waterfall'!M7*'⚙️ Assumptions'!C41</f>
        <v>-4778.70347492973</v>
      </c>
      <c r="N22" s="59" t="n">
        <f aca="false">'📊 ARR Waterfall'!N7*'⚙️ Assumptions'!C41</f>
        <v>-4895.3756957793</v>
      </c>
      <c r="O22" s="60" t="n">
        <f aca="false">SUM(C22:N22)</f>
        <v>-52681.9022252202</v>
      </c>
    </row>
    <row r="23" customFormat="false" ht="18" hidden="false" customHeight="true" outlineLevel="0" collapsed="false">
      <c r="B23" s="64" t="s">
        <v>146</v>
      </c>
      <c r="C23" s="80" t="n">
        <f aca="false">'📊 ARR Waterfall'!C8*'⚙️ Assumptions'!C41</f>
        <v>-10000</v>
      </c>
      <c r="D23" s="80" t="n">
        <f aca="false">'📊 ARR Waterfall'!D8*'⚙️ Assumptions'!C41</f>
        <v>-10130</v>
      </c>
      <c r="E23" s="80" t="n">
        <f aca="false">'📊 ARR Waterfall'!E8*'⚙️ Assumptions'!C41</f>
        <v>-10270.13</v>
      </c>
      <c r="F23" s="80" t="n">
        <f aca="false">'📊 ARR Waterfall'!F8*'⚙️ Assumptions'!C41</f>
        <v>-8336.320104</v>
      </c>
      <c r="G23" s="80" t="n">
        <f aca="false">'📊 ARR Waterfall'!G8*'⚙️ Assumptions'!C41</f>
        <v>-8481.329064312</v>
      </c>
      <c r="H23" s="80" t="n">
        <f aca="false">'📊 ARR Waterfall'!H8*'⚙️ Assumptions'!C41</f>
        <v>-8634.77305150494</v>
      </c>
      <c r="I23" s="80" t="n">
        <f aca="false">'📊 ARR Waterfall'!I8*'⚙️ Assumptions'!C41</f>
        <v>-8796.67737065945</v>
      </c>
      <c r="J23" s="80" t="n">
        <f aca="false">'📊 ARR Waterfall'!J8*'⚙️ Assumptions'!C41</f>
        <v>-8967.06740277143</v>
      </c>
      <c r="K23" s="80" t="n">
        <f aca="false">'📊 ARR Waterfall'!K8*'⚙️ Assumptions'!C41</f>
        <v>-9145.96860497974</v>
      </c>
      <c r="L23" s="80" t="n">
        <f aca="false">'📊 ARR Waterfall'!L8*'⚙️ Assumptions'!C41</f>
        <v>-9333.40651079469</v>
      </c>
      <c r="M23" s="80" t="n">
        <f aca="false">'📊 ARR Waterfall'!M8*'⚙️ Assumptions'!C41</f>
        <v>-9557.40694985945</v>
      </c>
      <c r="N23" s="80" t="n">
        <f aca="false">'📊 ARR Waterfall'!N8*'⚙️ Assumptions'!C41</f>
        <v>-9790.75139155861</v>
      </c>
      <c r="O23" s="81" t="n">
        <f aca="false">SUM(C23:N23)</f>
        <v>-111443.83045044</v>
      </c>
    </row>
    <row r="24" customFormat="false" ht="7.5" hidden="false" customHeight="true" outlineLevel="0" collapsed="false"/>
  </sheetData>
  <mergeCells count="4">
    <mergeCell ref="B1:O2"/>
    <mergeCell ref="B4:O4"/>
    <mergeCell ref="B11:O11"/>
    <mergeCell ref="B18:O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B1A1A"/>
    <pageSetUpPr fitToPage="false"/>
  </sheetPr>
  <dimension ref="B1:E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1" width="36"/>
    <col collapsed="false" customWidth="true" hidden="false" outlineLevel="0" max="3" min="3" style="1" width="18"/>
    <col collapsed="false" customWidth="true" hidden="false" outlineLevel="0" max="4" min="4" style="1" width="24"/>
    <col collapsed="false" customWidth="true" hidden="false" outlineLevel="0" max="5" min="5" style="1" width="14"/>
  </cols>
  <sheetData>
    <row r="1" customFormat="false" ht="19.5" hidden="false" customHeight="true" outlineLevel="0" collapsed="false">
      <c r="B1" s="84" t="s">
        <v>149</v>
      </c>
      <c r="C1" s="84"/>
      <c r="D1" s="84"/>
      <c r="E1" s="84"/>
    </row>
    <row r="2" customFormat="false" ht="19.5" hidden="false" customHeight="true" outlineLevel="0" collapsed="false">
      <c r="B2" s="84"/>
      <c r="C2" s="84"/>
      <c r="D2" s="84"/>
      <c r="E2" s="84"/>
    </row>
    <row r="3" customFormat="false" ht="12" hidden="false" customHeight="true" outlineLevel="0" collapsed="false">
      <c r="B3" s="84"/>
      <c r="C3" s="84"/>
      <c r="D3" s="84"/>
      <c r="E3" s="84"/>
    </row>
    <row r="4" customFormat="false" ht="3.75" hidden="false" customHeight="true" outlineLevel="0" collapsed="false">
      <c r="B4" s="85"/>
      <c r="C4" s="85"/>
      <c r="D4" s="85"/>
      <c r="E4" s="85"/>
    </row>
    <row r="5" customFormat="false" ht="9.75" hidden="false" customHeight="true" outlineLevel="0" collapsed="false"/>
    <row r="6" customFormat="false" ht="19.5" hidden="false" customHeight="true" outlineLevel="0" collapsed="false">
      <c r="B6" s="86" t="s">
        <v>150</v>
      </c>
      <c r="C6" s="86"/>
      <c r="D6" s="86"/>
      <c r="E6" s="86"/>
    </row>
    <row r="7" customFormat="false" ht="19.5" hidden="false" customHeight="true" outlineLevel="0" collapsed="false">
      <c r="B7" s="28" t="s">
        <v>151</v>
      </c>
      <c r="C7" s="87" t="n">
        <f aca="false">'📊 ARR Waterfall'!C4</f>
        <v>5000000</v>
      </c>
      <c r="D7" s="88" t="s">
        <v>152</v>
      </c>
      <c r="E7" s="88"/>
    </row>
    <row r="8" customFormat="false" ht="19.5" hidden="false" customHeight="true" outlineLevel="0" collapsed="false">
      <c r="B8" s="64" t="s">
        <v>153</v>
      </c>
      <c r="C8" s="89" t="n">
        <f aca="false">'📊 ARR Waterfall'!N10</f>
        <v>6275934.93744248</v>
      </c>
      <c r="D8" s="90" t="s">
        <v>154</v>
      </c>
      <c r="E8" s="90"/>
    </row>
    <row r="9" customFormat="false" ht="19.5" hidden="false" customHeight="true" outlineLevel="0" collapsed="false">
      <c r="B9" s="52" t="s">
        <v>136</v>
      </c>
      <c r="C9" s="91" t="n">
        <f aca="false">'📊 ARR Waterfall'!O9</f>
        <v>1275934.93744247</v>
      </c>
      <c r="D9" s="92" t="s">
        <v>155</v>
      </c>
      <c r="E9" s="92"/>
    </row>
    <row r="10" customFormat="false" ht="19.5" hidden="false" customHeight="true" outlineLevel="0" collapsed="false">
      <c r="B10" s="28" t="s">
        <v>156</v>
      </c>
      <c r="C10" s="93" t="n">
        <f aca="false">('📊 ARR Waterfall'!N10-'📊 ARR Waterfall'!C4)/'📊 ARR Waterfall'!C4</f>
        <v>0.255186987488495</v>
      </c>
      <c r="D10" s="88" t="s">
        <v>157</v>
      </c>
      <c r="E10" s="88"/>
    </row>
    <row r="11" customFormat="false" ht="19.5" hidden="false" customHeight="true" outlineLevel="0" collapsed="false">
      <c r="B11" s="52" t="s">
        <v>158</v>
      </c>
      <c r="C11" s="91" t="n">
        <f aca="false">'📊 ARR Waterfall'!O5</f>
        <v>1055000</v>
      </c>
      <c r="D11" s="92" t="s">
        <v>159</v>
      </c>
      <c r="E11" s="92"/>
    </row>
    <row r="12" customFormat="false" ht="19.5" hidden="false" customHeight="true" outlineLevel="0" collapsed="false">
      <c r="B12" s="52" t="s">
        <v>160</v>
      </c>
      <c r="C12" s="91" t="n">
        <f aca="false">'📊 ARR Waterfall'!O6</f>
        <v>1041563.60082078</v>
      </c>
      <c r="D12" s="92" t="s">
        <v>161</v>
      </c>
      <c r="E12" s="92"/>
    </row>
    <row r="13" customFormat="false" ht="19.5" hidden="false" customHeight="true" outlineLevel="0" collapsed="false">
      <c r="B13" s="55" t="s">
        <v>162</v>
      </c>
      <c r="C13" s="94" t="n">
        <f aca="false">'📊 ARR Waterfall'!O7</f>
        <v>-263409.511126101</v>
      </c>
      <c r="D13" s="95" t="s">
        <v>163</v>
      </c>
      <c r="E13" s="95"/>
    </row>
    <row r="14" customFormat="false" ht="19.5" hidden="false" customHeight="true" outlineLevel="0" collapsed="false">
      <c r="B14" s="58" t="s">
        <v>164</v>
      </c>
      <c r="C14" s="96" t="n">
        <f aca="false">'📊 ARR Waterfall'!O8</f>
        <v>-557219.152252202</v>
      </c>
      <c r="D14" s="97" t="s">
        <v>165</v>
      </c>
      <c r="E14" s="97"/>
    </row>
    <row r="15" customFormat="false" ht="19.5" hidden="false" customHeight="true" outlineLevel="0" collapsed="false">
      <c r="B15" s="64" t="s">
        <v>166</v>
      </c>
      <c r="C15" s="98" t="n">
        <f aca="false">AVERAGE('📊 ARR Waterfall'!C12:N12)</f>
        <v>1.00325</v>
      </c>
      <c r="D15" s="90" t="s">
        <v>167</v>
      </c>
      <c r="E15" s="90"/>
    </row>
    <row r="16" customFormat="false" ht="19.5" hidden="false" customHeight="true" outlineLevel="0" collapsed="false">
      <c r="B16" s="64" t="s">
        <v>168</v>
      </c>
      <c r="C16" s="98" t="n">
        <f aca="false">AVERAGE('📊 ARR Waterfall'!C13:N13)</f>
        <v>0.9875</v>
      </c>
      <c r="D16" s="90" t="s">
        <v>112</v>
      </c>
      <c r="E16" s="90"/>
    </row>
    <row r="17" customFormat="false" ht="19.5" hidden="false" customHeight="true" outlineLevel="0" collapsed="false">
      <c r="B17" s="28" t="s">
        <v>104</v>
      </c>
      <c r="C17" s="99" t="n">
        <f aca="false">'📊 ARR Waterfall'!N15</f>
        <v>252</v>
      </c>
      <c r="D17" s="88" t="s">
        <v>169</v>
      </c>
      <c r="E17" s="88"/>
    </row>
    <row r="18" customFormat="false" ht="19.5" hidden="false" customHeight="true" outlineLevel="0" collapsed="false">
      <c r="B18" s="28" t="s">
        <v>170</v>
      </c>
      <c r="C18" s="87" t="n">
        <f aca="false">IF('📊 ARR Waterfall'!N15=0,0,'📊 ARR Waterfall'!N10/'📊 ARR Waterfall'!N15)</f>
        <v>24904.5037200098</v>
      </c>
      <c r="D18" s="88" t="s">
        <v>171</v>
      </c>
      <c r="E18" s="88"/>
    </row>
    <row r="20" customFormat="false" ht="9.75" hidden="false" customHeight="true" outlineLevel="0" collapsed="false"/>
    <row r="21" customFormat="false" ht="19.5" hidden="false" customHeight="true" outlineLevel="0" collapsed="false">
      <c r="B21" s="86" t="s">
        <v>172</v>
      </c>
      <c r="C21" s="86"/>
      <c r="D21" s="86"/>
      <c r="E21" s="86"/>
    </row>
    <row r="22" customFormat="false" ht="25.5" hidden="false" customHeight="true" outlineLevel="0" collapsed="false">
      <c r="B22" s="100" t="s">
        <v>173</v>
      </c>
      <c r="C22" s="101" t="s">
        <v>174</v>
      </c>
      <c r="D22" s="101"/>
      <c r="E22" s="101"/>
    </row>
    <row r="23" customFormat="false" ht="25.5" hidden="false" customHeight="true" outlineLevel="0" collapsed="false">
      <c r="B23" s="100" t="s">
        <v>175</v>
      </c>
      <c r="C23" s="101" t="s">
        <v>176</v>
      </c>
      <c r="D23" s="101"/>
      <c r="E23" s="101"/>
    </row>
    <row r="24" customFormat="false" ht="25.5" hidden="false" customHeight="true" outlineLevel="0" collapsed="false">
      <c r="B24" s="100" t="s">
        <v>177</v>
      </c>
      <c r="C24" s="101" t="s">
        <v>178</v>
      </c>
      <c r="D24" s="101"/>
      <c r="E24" s="101"/>
    </row>
    <row r="25" customFormat="false" ht="25.5" hidden="false" customHeight="true" outlineLevel="0" collapsed="false">
      <c r="B25" s="100" t="s">
        <v>179</v>
      </c>
      <c r="C25" s="101" t="s">
        <v>180</v>
      </c>
      <c r="D25" s="101"/>
      <c r="E25" s="101"/>
    </row>
    <row r="27" customFormat="false" ht="15" hidden="false" customHeight="true" outlineLevel="0" collapsed="false">
      <c r="B27" s="15" t="s">
        <v>181</v>
      </c>
      <c r="C27" s="15"/>
      <c r="D27" s="15"/>
      <c r="E27" s="15"/>
    </row>
  </sheetData>
  <mergeCells count="21">
    <mergeCell ref="B1:E3"/>
    <mergeCell ref="B4:E4"/>
    <mergeCell ref="B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B21:E21"/>
    <mergeCell ref="C22:E22"/>
    <mergeCell ref="C23:E23"/>
    <mergeCell ref="C24:E24"/>
    <mergeCell ref="C25:E25"/>
    <mergeCell ref="B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2026-03-15T01:40:08Z</dcterms:created>
  <dc:creator>openpyxl</dc:creator>
  <dc:description/>
  <dc:language>en-US</dc:language>
  <cp:lastModifiedBy/>
  <dcterms:modified xsi:type="dcterms:W3CDTF">2026-03-15T01:40:27Z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