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Assumptions" sheetId="2" state="visible" r:id="rId4"/>
    <sheet name="Cloud_TCO" sheetId="3" state="visible" r:id="rId5"/>
    <sheet name="OnPrem_TCO" sheetId="4" state="visible" r:id="rId6"/>
    <sheet name="Cost_Treatment" sheetId="5" state="visible" r:id="rId7"/>
    <sheet name="Benefits_ROI" sheetId="6" state="visible" r:id="rId8"/>
    <sheet name="Sensitivity" sheetId="7" state="visible" r:id="rId9"/>
    <sheet name="Vendor_Scorecard"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<sst xmlns="http://schemas.openxmlformats.org/spreadsheetml/2006/main" count="581" uniqueCount="370">
  <si>
    <t xml:space="preserve">ERP Total Cost of Ownership Model — Executive CFO Dashboard</t>
  </si>
  <si>
    <t xml:space="preserve">The System CFO Series  |  Hindol Datta  |  EfuturesCFO.com  |  SMB Default: $10M–$50M Revenue, 75 Users</t>
  </si>
  <si>
    <t xml:space="preserve">KEY DECISION METRICS — PULL FROM MODEL  (Green = Cross-Sheet Links)</t>
  </si>
  <si>
    <t xml:space="preserve">Metric</t>
  </si>
  <si>
    <t xml:space="preserve">Cloud</t>
  </si>
  <si>
    <t xml:space="preserve">On-Premise</t>
  </si>
  <si>
    <t xml:space="preserve">Delta</t>
  </si>
  <si>
    <t xml:space="preserve">Winner</t>
  </si>
  <si>
    <t xml:space="preserve">Notes</t>
  </si>
  <si>
    <t xml:space="preserve">5-Year Total TCO ($)</t>
  </si>
  <si>
    <t xml:space="preserve">Lower 5-yr cash outflow wins on pure cost basis</t>
  </si>
  <si>
    <t xml:space="preserve">NPV of 5-Year TCO ($)</t>
  </si>
  <si>
    <t xml:space="preserve">Time-value adjusted. Use this as primary decision metric.</t>
  </si>
  <si>
    <t xml:space="preserve">Avg Cost / User / Year ($)</t>
  </si>
  <si>
    <t xml:space="preserve">Fully-loaded per-user cost including all categories</t>
  </si>
  <si>
    <t xml:space="preserve">5-Year Total Benefits ($)</t>
  </si>
  <si>
    <t xml:space="preserve">Equal</t>
  </si>
  <si>
    <t xml:space="preserve">Same ERP capability regardless of deployment model</t>
  </si>
  <si>
    <t xml:space="preserve">Net NPV — Benefits minus TCO ($)</t>
  </si>
  <si>
    <t xml:space="preserve">Positive = investment returns more than it costs on NPV basis</t>
  </si>
  <si>
    <t xml:space="preserve">ROI %</t>
  </si>
  <si>
    <t xml:space="preserve">5-yr total benefits ÷ 5-yr total TCO</t>
  </si>
  <si>
    <t xml:space="preserve">Payback Period (approx. years)</t>
  </si>
  <si>
    <t xml:space="preserve">Years to recover TCO investment from quantified benefits</t>
  </si>
  <si>
    <t xml:space="preserve">5-YEAR TCO COMPARISON — ANNUAL COST BUILD  ($)</t>
  </si>
  <si>
    <t xml:space="preserve">Scenario</t>
  </si>
  <si>
    <t xml:space="preserve">Year 1</t>
  </si>
  <si>
    <t xml:space="preserve">Year 2</t>
  </si>
  <si>
    <t xml:space="preserve">Year 3</t>
  </si>
  <si>
    <t xml:space="preserve">Year 4</t>
  </si>
  <si>
    <t xml:space="preserve">Year 5</t>
  </si>
  <si>
    <t xml:space="preserve">Total</t>
  </si>
  <si>
    <t xml:space="preserve">NPV</t>
  </si>
  <si>
    <t xml:space="preserve">Cloud ERP</t>
  </si>
  <si>
    <t xml:space="preserve">On-Premise ERP</t>
  </si>
  <si>
    <t xml:space="preserve">Differential (Cloud minus On-Prem)</t>
  </si>
  <si>
    <t xml:space="preserve">CFO RISK FLAGS &amp; DECISION GUIDANCE</t>
  </si>
  <si>
    <t xml:space="preserve">Implementation Overrun Risk</t>
  </si>
  <si>
    <t xml:space="preserve">Cloud ERP implementations typically run 10–20% over budget for SMBs. Buffer is included in model. Monitor actuals vs. budget monthly.</t>
  </si>
  <si>
    <t xml:space="preserve">On-Prem</t>
  </si>
  <si>
    <t xml:space="preserve">On-premise projects historically run 20–40% over budget and 30–50% over schedule. The 25% buffer in the model may be conservative.</t>
  </si>
  <si>
    <t xml:space="preserve">Ongoing Cost Escalation</t>
  </si>
  <si>
    <t xml:space="preserve">SaaS subscription rates escalate 3–8% annually. Negotiate multi-year pricing caps in Year 1 contract. Model uses 5% assumption — verify with vendor.</t>
  </si>
  <si>
    <t xml:space="preserve">Hardware refresh (Year 3) and growing IT support FTEs are the primary cost escalators. Model these conservatively.</t>
  </si>
  <si>
    <t xml:space="preserve">Hidden Costs</t>
  </si>
  <si>
    <t xml:space="preserve">Watch for per-transaction fees, data storage overages, additional module costs, and API call limits not covered in base subscription.</t>
  </si>
  <si>
    <t xml:space="preserve">Watch for database licenses (SQL Server, Oracle), DR infrastructure, cybersecurity hardening, and internal IT opportunity cost.</t>
  </si>
  <si>
    <t xml:space="preserve">Benefit Realization Risk</t>
  </si>
  <si>
    <t xml:space="preserve">Both</t>
  </si>
  <si>
    <t xml:space="preserve">Benefits in this model assume disciplined change management and process redesign. Without active adoption programs, realize 40–60% of modeled benefits.</t>
  </si>
  <si>
    <t xml:space="preserve">Headcount avoidance requires a deliberate hiring freeze policy. Without executive commitment, this benefit is never captured.</t>
  </si>
  <si>
    <t xml:space="preserve">RECOMMENDATION ENGINE — AUTO-GENERATED FROM MODEL OUTPUTS</t>
  </si>
  <si>
    <t xml:space="preserve">HOW TO USE THIS MODEL</t>
  </si>
  <si>
    <t xml:space="preserve">1. Assumptions</t>
  </si>
  <si>
    <t xml:space="preserve">Enter all blue-cell inputs on the Assumptions sheet. Yellow = key assumptions. All other sheets calculate automatically.</t>
  </si>
  <si>
    <t xml:space="preserve">2. Cloud_TCO / OnPrem_TCO</t>
  </si>
  <si>
    <t xml:space="preserve">5-year cost build for each scenario. Review line-by-line. Override any formula with a blue input if you have vendor quotes.</t>
  </si>
  <si>
    <t xml:space="preserve">3. Cost_Treatment</t>
  </si>
  <si>
    <t xml:space="preserve">Review capitalize vs. expense analysis with your auditor. The tax timing difference is a real cash flow variable.</t>
  </si>
  <si>
    <t xml:space="preserve">4. Benefits_ROI</t>
  </si>
  <si>
    <t xml:space="preserve">Adjust benefit assumptions conservatively. Run two scenarios: 50% realization and 100% realization. Use the lower as your base.</t>
  </si>
  <si>
    <t xml:space="preserve">5. Sensitivity</t>
  </si>
  <si>
    <t xml:space="preserve">Review the tornado layout and two-way tables. Identify which 2–3 variables most drive your TCO outcome.</t>
  </si>
  <si>
    <t xml:space="preserve">6. Vendor_Scorecard</t>
  </si>
  <si>
    <t xml:space="preserve">Score each vendor 1–5. Weights are editable. Total score + NPV TCO together drive the final recommendation.</t>
  </si>
  <si>
    <t xml:space="preserve">7. Dashboard</t>
  </si>
  <si>
    <t xml:space="preserve">Present this page to the CFO / Board. The recommendation cell updates automatically when assumptions change.</t>
  </si>
  <si>
    <t xml:space="preserve">ERP Total Cost of Ownership Model — Assumptions</t>
  </si>
  <si>
    <t xml:space="preserve">Blue = input  |  Yellow background = key assumption  |  SMB default: $10M–$50M revenue, 50–200 users  |  EfuturesCFO.com</t>
  </si>
  <si>
    <t xml:space="preserve">A. COMPANY &amp; PROJECT PARAMETERS</t>
  </si>
  <si>
    <t xml:space="preserve">Parameter</t>
  </si>
  <si>
    <t xml:space="preserve">Number of ERP Users</t>
  </si>
  <si>
    <t xml:space="preserve">Named users; drives per-user licensing</t>
  </si>
  <si>
    <t xml:space="preserve">Annual Revenue ($)</t>
  </si>
  <si>
    <t xml:space="preserve">Used for ROI % calculation</t>
  </si>
  <si>
    <t xml:space="preserve">Go-Live Year</t>
  </si>
  <si>
    <t xml:space="preserve">Year implementation completes</t>
  </si>
  <si>
    <t xml:space="preserve">WACC / Discount Rate %</t>
  </si>
  <si>
    <t xml:space="preserve">Used for NPV; single rate applies to both</t>
  </si>
  <si>
    <t xml:space="preserve">Annual Cost Inflation Rate %</t>
  </si>
  <si>
    <t xml:space="preserve">Applied to recurring costs Y2–Y5</t>
  </si>
  <si>
    <t xml:space="preserve">Project Start Year Label</t>
  </si>
  <si>
    <t xml:space="preserve">2025</t>
  </si>
  <si>
    <t xml:space="preserve">Display only</t>
  </si>
  <si>
    <t xml:space="preserve">B. LICENSE / SUBSCRIPTION COSTS</t>
  </si>
  <si>
    <t xml:space="preserve">Annual SaaS Subscription / User ($)</t>
  </si>
  <si>
    <t xml:space="preserve">Cloud: per user/yr SaaS fee</t>
  </si>
  <si>
    <t xml:space="preserve">Perpetual License Cost — Total ($)</t>
  </si>
  <si>
    <t xml:space="preserve">On-Prem: one-time upfront license</t>
  </si>
  <si>
    <t xml:space="preserve">Annual Maintenance % of License</t>
  </si>
  <si>
    <t xml:space="preserve">On-Prem: typically 18–22% of license</t>
  </si>
  <si>
    <t xml:space="preserve">License Escalation Rate % (Y2–Y5)</t>
  </si>
  <si>
    <t xml:space="preserve">Annual price increase on subscription/maintenance</t>
  </si>
  <si>
    <t xml:space="preserve">C. IMPLEMENTATION SERVICES</t>
  </si>
  <si>
    <t xml:space="preserve">SI Partner Implementation Fee ($)</t>
  </si>
  <si>
    <t xml:space="preserve">System integrator professional services</t>
  </si>
  <si>
    <t xml:space="preserve">Implementation Overrun Buffer %</t>
  </si>
  <si>
    <t xml:space="preserve">Risk buffer; on-prem historically runs 20–30% over</t>
  </si>
  <si>
    <t xml:space="preserve">Implementation spread across years</t>
  </si>
  <si>
    <t xml:space="preserve">Y1</t>
  </si>
  <si>
    <t xml:space="preserve">Y1-Y2</t>
  </si>
  <si>
    <t xml:space="preserve">Cloud: mostly Y1; On-Prem: often Y1+Y2</t>
  </si>
  <si>
    <t xml:space="preserve">Y1 Implementation % of Total</t>
  </si>
  <si>
    <t xml:space="preserve">Portion incurred in Year 1</t>
  </si>
  <si>
    <t xml:space="preserve">Y2 Implementation % of Total</t>
  </si>
  <si>
    <t xml:space="preserve">Remainder in Year 2 (On-Prem)</t>
  </si>
  <si>
    <t xml:space="preserve">D. INTERNAL LABOR</t>
  </si>
  <si>
    <t xml:space="preserve">Internal Project Team — FTEs</t>
  </si>
  <si>
    <t xml:space="preserve">FTEs dedicated during implementation</t>
  </si>
  <si>
    <t xml:space="preserve">Avg Fully Loaded Cost / FTE / Yr ($)</t>
  </si>
  <si>
    <t xml:space="preserve">Salary + benefits + overhead</t>
  </si>
  <si>
    <t xml:space="preserve">Implementation Duration (months)</t>
  </si>
  <si>
    <t xml:space="preserve">Cloud faster due to config vs. customization</t>
  </si>
  <si>
    <t xml:space="preserve">Ongoing IT Support FTEs (post go-live)</t>
  </si>
  <si>
    <t xml:space="preserve">Dedicated ERP support headcount</t>
  </si>
  <si>
    <t xml:space="preserve">Ongoing FTE Cost Inflation % / Yr</t>
  </si>
  <si>
    <t xml:space="preserve">Annual salary increase</t>
  </si>
  <si>
    <t xml:space="preserve">E. CUSTOMIZATION, INTEGRATION, TRAINING, DATA MIGRATION &amp; CHANGE MANAGEMENT</t>
  </si>
  <si>
    <t xml:space="preserve">Customization &amp; Dev Cost — Y1 ($)</t>
  </si>
  <si>
    <t xml:space="preserve">Cloud: config only; On-Prem: code customization</t>
  </si>
  <si>
    <t xml:space="preserve">Customization Ongoing / Yr ($)</t>
  </si>
  <si>
    <t xml:space="preserve">Annual enhancement requests</t>
  </si>
  <si>
    <t xml:space="preserve">Integration Cost — Y1 ($)</t>
  </si>
  <si>
    <t xml:space="preserve">Middleware, APIs, connectors</t>
  </si>
  <si>
    <t xml:space="preserve">Integration Ongoing / Yr ($)</t>
  </si>
  <si>
    <t xml:space="preserve">Annual integration maintenance</t>
  </si>
  <si>
    <t xml:space="preserve">Training Cost — Y1 ($)</t>
  </si>
  <si>
    <t xml:space="preserve">End-user and admin training</t>
  </si>
  <si>
    <t xml:space="preserve">Ongoing Training / Yr ($)</t>
  </si>
  <si>
    <t xml:space="preserve">Annual refresher + new hire training</t>
  </si>
  <si>
    <t xml:space="preserve">Data Migration Cost ($)</t>
  </si>
  <si>
    <t xml:space="preserve">One-time; Y1 only</t>
  </si>
  <si>
    <t xml:space="preserve">Change Management Cost — Y1 ($)</t>
  </si>
  <si>
    <t xml:space="preserve">Communications, adoption, OCM</t>
  </si>
  <si>
    <t xml:space="preserve">Change Mgmt Ongoing / Yr ($)</t>
  </si>
  <si>
    <t xml:space="preserve">Ongoing adoption and process reinforcement</t>
  </si>
  <si>
    <t xml:space="preserve">F. INFRASTRUCTURE &amp; ONGOING SUPPORT</t>
  </si>
  <si>
    <t xml:space="preserve">Cloud Hosting / Infrastructure / Yr ($)</t>
  </si>
  <si>
    <t xml:space="preserve">Included in SaaS subscription for Cloud</t>
  </si>
  <si>
    <t xml:space="preserve">On-Prem Server Hardware — Y1 ($)</t>
  </si>
  <si>
    <t xml:space="preserve">Physical servers, storage, networking</t>
  </si>
  <si>
    <t xml:space="preserve">On-Prem Hardware Refresh (Y3) ($)</t>
  </si>
  <si>
    <t xml:space="preserve">Mid-life hardware refresh / upgrade</t>
  </si>
  <si>
    <t xml:space="preserve">On-Prem Annual Infrastructure Ops ($)</t>
  </si>
  <si>
    <t xml:space="preserve">Power, cooling, data center space</t>
  </si>
  <si>
    <t xml:space="preserve">Vendor Support Contract / Yr ($)</t>
  </si>
  <si>
    <t xml:space="preserve">On-Prem: vendor annual support contract</t>
  </si>
  <si>
    <t xml:space="preserve">Third-Party Support / Yr ($)</t>
  </si>
  <si>
    <t xml:space="preserve">Additional support, help desk tools</t>
  </si>
  <si>
    <t xml:space="preserve">G. BENEFIT ASSUMPTIONS (Both Scenarios — Enter Once)</t>
  </si>
  <si>
    <t xml:space="preserve">Benefit Category</t>
  </si>
  <si>
    <t xml:space="preserve">Annual Value ($)</t>
  </si>
  <si>
    <t xml:space="preserve">Start Year</t>
  </si>
  <si>
    <t xml:space="preserve">Productivity Gains (labor efficiency) ($)</t>
  </si>
  <si>
    <t xml:space="preserve">Reduced manual effort; begins Y2 after go-live</t>
  </si>
  <si>
    <t xml:space="preserve">Error Reduction &amp; Rework Avoidance ($)</t>
  </si>
  <si>
    <t xml:space="preserve">Finance close errors, AP/AR rework</t>
  </si>
  <si>
    <t xml:space="preserve">Headcount Avoidance (FTEs not hired) ($)</t>
  </si>
  <si>
    <t xml:space="preserve">System replaces manual headcount growth</t>
  </si>
  <si>
    <t xml:space="preserve">Faster Close — Finance Value ($)</t>
  </si>
  <si>
    <t xml:space="preserve">Reduced close cycle from ~10 to ~5 days</t>
  </si>
  <si>
    <t xml:space="preserve">Inventory / Working Capital Improvement ($)</t>
  </si>
  <si>
    <t xml:space="preserve">Better inventory visibility; Y3 onward</t>
  </si>
  <si>
    <t xml:space="preserve">Compliance &amp; Audit Cost Reduction ($)</t>
  </si>
  <si>
    <t xml:space="preserve">Reduced external audit prep time</t>
  </si>
  <si>
    <t xml:space="preserve">Benefit Ramp % (Y2 = partial realization)</t>
  </si>
  <si>
    <t xml:space="preserve">Year 2 partial; Y3+ = 100%</t>
  </si>
  <si>
    <t xml:space="preserve">Annual Benefit Growth Rate %</t>
  </si>
  <si>
    <t xml:space="preserve">Conservative annual uplift on benefits</t>
  </si>
  <si>
    <t xml:space="preserve">ERP TCO Model — Cloud Scenario  |  5-Year Total Cost of Ownership</t>
  </si>
  <si>
    <t xml:space="preserve">SMB Default: 75 users | All inputs on Assumptions sheet | Green text = cross-sheet links | EfuturesCFO.com</t>
  </si>
  <si>
    <t xml:space="preserve">COST CATEGORY</t>
  </si>
  <si>
    <t xml:space="preserve">5-Yr Total</t>
  </si>
  <si>
    <t xml:space="preserve">1. LICENSE / SUBSCRIPTION</t>
  </si>
  <si>
    <t xml:space="preserve">Annual SaaS Subscription</t>
  </si>
  <si>
    <t xml:space="preserve">Total License / Subscription</t>
  </si>
  <si>
    <t xml:space="preserve">2. IMPLEMENTATION SERVICES</t>
  </si>
  <si>
    <t xml:space="preserve">SI Partner Fees (incl. overrun buffer)</t>
  </si>
  <si>
    <t xml:space="preserve">0</t>
  </si>
  <si>
    <t xml:space="preserve">Total Implementation Services</t>
  </si>
  <si>
    <t xml:space="preserve">3. INTERNAL LABOR</t>
  </si>
  <si>
    <t xml:space="preserve">Implementation Internal Labor (Y1)</t>
  </si>
  <si>
    <t xml:space="preserve">Ongoing IT Support Labor (post go-live)</t>
  </si>
  <si>
    <t xml:space="preserve">Total Internal Labor</t>
  </si>
  <si>
    <t xml:space="preserve">4. CUSTOMIZATION &amp; DEVELOPMENT</t>
  </si>
  <si>
    <t xml:space="preserve">Y1 Customization / Development</t>
  </si>
  <si>
    <t xml:space="preserve">Ongoing Customization (Y2–Y5)</t>
  </si>
  <si>
    <t xml:space="preserve">Total Customization</t>
  </si>
  <si>
    <t xml:space="preserve">5. INTEGRATION (MIDDLEWARE / APIs)</t>
  </si>
  <si>
    <t xml:space="preserve">Y1 Integration Setup</t>
  </si>
  <si>
    <t xml:space="preserve">Ongoing Integration Maintenance</t>
  </si>
  <si>
    <t xml:space="preserve">Total Integration</t>
  </si>
  <si>
    <t xml:space="preserve">6. TRAINING</t>
  </si>
  <si>
    <t xml:space="preserve">Y1 Training (end-user + admin)</t>
  </si>
  <si>
    <t xml:space="preserve">Ongoing Training (Y2–Y5)</t>
  </si>
  <si>
    <t xml:space="preserve">Total Training</t>
  </si>
  <si>
    <t xml:space="preserve">7. DATA MIGRATION</t>
  </si>
  <si>
    <t xml:space="preserve">Data Migration (one-time Y1)</t>
  </si>
  <si>
    <t xml:space="preserve">Total Data Migration</t>
  </si>
  <si>
    <t xml:space="preserve">8. CHANGE MANAGEMENT</t>
  </si>
  <si>
    <t xml:space="preserve">Y1 Change Management / OCM</t>
  </si>
  <si>
    <t xml:space="preserve">Ongoing Change Mgmt (Y2–Y5)</t>
  </si>
  <si>
    <t xml:space="preserve">Total Change Management</t>
  </si>
  <si>
    <t xml:space="preserve">9. INFRASTRUCTURE &amp; ONGOING SUPPORT</t>
  </si>
  <si>
    <t xml:space="preserve">Cloud Hosting (incl. in subscription)</t>
  </si>
  <si>
    <t xml:space="preserve">Third-Party Support</t>
  </si>
  <si>
    <t xml:space="preserve">Total Infrastructure &amp; Support</t>
  </si>
  <si>
    <t xml:space="preserve">TOTAL 5-YEAR TCO</t>
  </si>
  <si>
    <t xml:space="preserve">FINANCIAL METRICS</t>
  </si>
  <si>
    <t xml:space="preserve">NPV of Total TCO (at WACC)</t>
  </si>
  <si>
    <t xml:space="preserve">Cost / User / Year (Avg)</t>
  </si>
  <si>
    <t xml:space="preserve">ERP TCO Model — On-Premise Scenario  |  5-Year Total Cost of Ownership</t>
  </si>
  <si>
    <t xml:space="preserve">Perpetual License (Year 1 only)</t>
  </si>
  <si>
    <t xml:space="preserve">Annual Maintenance (Y2–Y5)</t>
  </si>
  <si>
    <t xml:space="preserve">Total License / Maintenance</t>
  </si>
  <si>
    <t xml:space="preserve">Server Hardware (Y1) + Refresh (Y3)</t>
  </si>
  <si>
    <t xml:space="preserve">Annual Infrastructure Operations</t>
  </si>
  <si>
    <t xml:space="preserve">Vendor Support Contract</t>
  </si>
  <si>
    <t xml:space="preserve">Implementation Cost Treatment — Capitalize vs. Expense (Side-by-Side)</t>
  </si>
  <si>
    <t xml:space="preserve">ASC 350-40 / IFRS 15 guidance: internal-use software costs — capitalize eligible dev costs; expense post-implementation. Consult your auditor.</t>
  </si>
  <si>
    <t xml:space="preserve">ON-PREMISE — CAPITALIZE &amp; AMORTIZE (ASC 350-40)</t>
  </si>
  <si>
    <t xml:space="preserve">Cost Category</t>
  </si>
  <si>
    <t xml:space="preserve">Y1 ($)</t>
  </si>
  <si>
    <t xml:space="preserve">Y2 ($)</t>
  </si>
  <si>
    <t xml:space="preserve">Y3–Y5 ($)</t>
  </si>
  <si>
    <t xml:space="preserve">Total Capitalize ($)</t>
  </si>
  <si>
    <t xml:space="preserve">Amort/Yr ($)</t>
  </si>
  <si>
    <t xml:space="preserve">Expensed Yr 1 ($)</t>
  </si>
  <si>
    <t xml:space="preserve">SaaS Subscription (expense)</t>
  </si>
  <si>
    <t xml:space="preserve">Recurring</t>
  </si>
  <si>
    <t xml:space="preserve">Perpetual License (capitalize)</t>
  </si>
  <si>
    <t xml:space="preserve">Implementation Services (expense Y1)</t>
  </si>
  <si>
    <t xml:space="preserve">Implementation Services (capitalize)</t>
  </si>
  <si>
    <t xml:space="preserve">Internal Labor — Impl (expense)</t>
  </si>
  <si>
    <t xml:space="preserve">Internal Labor — Impl (capitalize eligible)</t>
  </si>
  <si>
    <t xml:space="preserve">Customization (config, expense)</t>
  </si>
  <si>
    <t xml:space="preserve">Customization — Code (capitalize)</t>
  </si>
  <si>
    <t xml:space="preserve">Integration (expense)</t>
  </si>
  <si>
    <t xml:space="preserve">Integration Setup (capitalize portion)</t>
  </si>
  <si>
    <t xml:space="preserve">Training (expense)</t>
  </si>
  <si>
    <t xml:space="preserve">Training (expense — cannot capitalize)</t>
  </si>
  <si>
    <t xml:space="preserve">Data Migration (expense Y1)</t>
  </si>
  <si>
    <t xml:space="preserve">Data Migration (expense — cannot capitalize)</t>
  </si>
  <si>
    <t xml:space="preserve">Change Management (expense)</t>
  </si>
  <si>
    <t xml:space="preserve">Third-Party Support (expense)</t>
  </si>
  <si>
    <t xml:space="preserve">Annual Maintenance + Support (expense)</t>
  </si>
  <si>
    <t xml:space="preserve">KEY ACCOUNTING GUIDANCE</t>
  </si>
  <si>
    <t xml:space="preserve">Cloud / SaaS (ASC 350-40)</t>
  </si>
  <si>
    <t xml:space="preserve">Implementation costs for SaaS (hosting arrangement) are expensed unless they are for internal-use software. Preliminary project stage and post-implementation costs are always expensed. Only application development stage costs may be capitalized if the criteria are met. Most SMB SaaS implementations are fully expensed.</t>
  </si>
  <si>
    <t xml:space="preserve">On-Premise / Perpetual License (ASC 350-40)</t>
  </si>
  <si>
    <t xml:space="preserve">Perpetual license fees and eligible application development costs (including qualifying internal labor) are capitalized as intangible assets and amortized over useful life (typically 3–7 years). Training, data migration, and change management cannot be capitalized. Maintenance fees are always expensed.</t>
  </si>
  <si>
    <t xml:space="preserve">Tax Consideration</t>
  </si>
  <si>
    <t xml:space="preserve">Expensing creates immediate tax deduction (cloud advantage in Year 1). Capitalization defers deductions over amortization period (on-premise). The cash tax timing difference is a real CFO decision variable — model it with your tax rate.</t>
  </si>
  <si>
    <t xml:space="preserve">ERP Benefits Quantification &amp; ROI — Cloud vs. On-Premise</t>
  </si>
  <si>
    <t xml:space="preserve">Benefits are scenario-neutral (same ERP capability regardless of deployment). Differential ROI = Cloud NPV benefit minus On-Premise NPV benefit after cost offset.</t>
  </si>
  <si>
    <t xml:space="preserve">ANNUAL BENEFIT SCHEDULE — 5-YEAR HORIZON</t>
  </si>
  <si>
    <t xml:space="preserve">Y2</t>
  </si>
  <si>
    <t xml:space="preserve">Y3</t>
  </si>
  <si>
    <t xml:space="preserve">Y4</t>
  </si>
  <si>
    <t xml:space="preserve">Y5</t>
  </si>
  <si>
    <t xml:space="preserve">NPV @ WACC</t>
  </si>
  <si>
    <t xml:space="preserve">Productivity Gains</t>
  </si>
  <si>
    <t xml:space="preserve">Start Year 2; grows {grow}%/yr</t>
  </si>
  <si>
    <t xml:space="preserve">Error Reduction &amp; Rework Avoidance</t>
  </si>
  <si>
    <t xml:space="preserve">Headcount Avoidance</t>
  </si>
  <si>
    <t xml:space="preserve">Faster Financial Close</t>
  </si>
  <si>
    <t xml:space="preserve">Inventory / Working Capital</t>
  </si>
  <si>
    <t xml:space="preserve">Start Year 3; grows {grow}%/yr</t>
  </si>
  <si>
    <t xml:space="preserve">Compliance &amp; Audit Cost Reduction</t>
  </si>
  <si>
    <t xml:space="preserve">TOTAL ANNUAL BENEFITS</t>
  </si>
  <si>
    <t xml:space="preserve">Total Quantified Benefits</t>
  </si>
  <si>
    <t xml:space="preserve">ROI SUMMARY — CLOUD vs. ON-PREMISE</t>
  </si>
  <si>
    <t xml:space="preserve">Delta (Cloud minus On-Prem)</t>
  </si>
  <si>
    <t xml:space="preserve">NPV of TCO ($)</t>
  </si>
  <si>
    <t xml:space="preserve">Total 5-Year Benefits ($)</t>
  </si>
  <si>
    <t xml:space="preserve">NPV of Benefits ($)</t>
  </si>
  <si>
    <t xml:space="preserve">Net NPV (Benefits minus TCO NPV) ($)</t>
  </si>
  <si>
    <t xml:space="preserve">ROI % (5-Yr Benefits / 5-Yr TCO)</t>
  </si>
  <si>
    <t xml:space="preserve">IRR (annual, 5-yr cash flows)</t>
  </si>
  <si>
    <t xml:space="preserve">n/a</t>
  </si>
  <si>
    <t xml:space="preserve">Payback Period (years)</t>
  </si>
  <si>
    <t xml:space="preserve">See notes</t>
  </si>
  <si>
    <t xml:space="preserve">Sensitivity Analysis — ERP TCO  |  Tornado Chart Layout  |  6 Key Cost Drivers</t>
  </si>
  <si>
    <t xml:space="preserve">Each driver tested at Base, Low (-20%), and High (+20%) while all others held at base. Delta = impact on 5-Yr TCO vs. base case. Sort by absolute delta for tornado ordering.</t>
  </si>
  <si>
    <t xml:space="preserve">SENSITIVITY VARIABLES</t>
  </si>
  <si>
    <t xml:space="preserve">Variable</t>
  </si>
  <si>
    <t xml:space="preserve">Low Assumption</t>
  </si>
  <si>
    <t xml:space="preserve">Base Assumption</t>
  </si>
  <si>
    <t xml:space="preserve">High Assumption</t>
  </si>
  <si>
    <t xml:space="preserve">Cloud TCO — Low</t>
  </si>
  <si>
    <t xml:space="preserve">Cloud TCO — Base</t>
  </si>
  <si>
    <t xml:space="preserve">Cloud TCO — High</t>
  </si>
  <si>
    <t xml:space="preserve">Cloud Delta Low</t>
  </si>
  <si>
    <t xml:space="preserve">Cloud Delta High</t>
  </si>
  <si>
    <t xml:space="preserve">Swing (High-Low)</t>
  </si>
  <si>
    <t xml:space="preserve">Number of ERP Users (Cloud)</t>
  </si>
  <si>
    <t xml:space="preserve">SaaS Subscription Rate / User</t>
  </si>
  <si>
    <t xml:space="preserve">Implementation Overrun % (Cloud)</t>
  </si>
  <si>
    <t xml:space="preserve">10%</t>
  </si>
  <si>
    <t xml:space="preserve">15%</t>
  </si>
  <si>
    <t xml:space="preserve">25%</t>
  </si>
  <si>
    <t xml:space="preserve">Implementation Overrun % (On-Prem)</t>
  </si>
  <si>
    <t xml:space="preserve">40%</t>
  </si>
  <si>
    <t xml:space="preserve">Internal IT Support FTEs (On-Prem)</t>
  </si>
  <si>
    <t xml:space="preserve">1.0 FTE</t>
  </si>
  <si>
    <t xml:space="preserve">1.5 FTE</t>
  </si>
  <si>
    <t xml:space="preserve">2.5 FTE</t>
  </si>
  <si>
    <t xml:space="preserve">WACC / Discount Rate</t>
  </si>
  <si>
    <t xml:space="preserve">7%</t>
  </si>
  <si>
    <t xml:space="preserve">13%</t>
  </si>
  <si>
    <t xml:space="preserve">On-Prem Hardware Cost</t>
  </si>
  <si>
    <t xml:space="preserve">Annual Cost Inflation Rate</t>
  </si>
  <si>
    <t xml:space="preserve">1%</t>
  </si>
  <si>
    <t xml:space="preserve">3%</t>
  </si>
  <si>
    <t xml:space="preserve">5%</t>
  </si>
  <si>
    <t xml:space="preserve">TWO-WAY SENSITIVITY: Cloud 5-Yr TCO — Users × Annual Subscription Rate / User</t>
  </si>
  <si>
    <t xml:space="preserve">Users → / Rate ↓</t>
  </si>
  <si>
    <t xml:space="preserve">TWO-WAY SENSITIVITY: On-Prem 5-Yr TCO — Implementation Overrun % × Perpetual License Cost</t>
  </si>
  <si>
    <t xml:space="preserve">Overrun → / License ↓</t>
  </si>
  <si>
    <t xml:space="preserve">ERP Vendor Selection Scorecard — Weighted Evaluation Framework</t>
  </si>
  <si>
    <t xml:space="preserve">Score each vendor 1–5 per criterion. Weights must sum to 100%. Weighted score = Score × Weight. Best score wins. Add/remove vendors by editing columns.</t>
  </si>
  <si>
    <t xml:space="preserve">VENDOR EVALUATION SCORECARD</t>
  </si>
  <si>
    <t xml:space="preserve">Evaluation Criterion</t>
  </si>
  <si>
    <t xml:space="preserve">Weight %</t>
  </si>
  <si>
    <t xml:space="preserve">Vendor A
(Cloud ERP)</t>
  </si>
  <si>
    <t xml:space="preserve">Vendor B
(Cloud ERP)</t>
  </si>
  <si>
    <t xml:space="preserve">Vendor C
(On-Prem ERP)</t>
  </si>
  <si>
    <t xml:space="preserve">Vendor D
(On-Prem ERP)</t>
  </si>
  <si>
    <t xml:space="preserve">Vendor E
(Hybrid)</t>
  </si>
  <si>
    <t xml:space="preserve">Max Score
(Weight×5)</t>
  </si>
  <si>
    <t xml:space="preserve">A. TOTAL COST OF OWNERSHIP (Weight: ~25%)</t>
  </si>
  <si>
    <t xml:space="preserve">5-Year TCO (lower = better)</t>
  </si>
  <si>
    <t xml:space="preserve">License / Subscription Model</t>
  </si>
  <si>
    <t xml:space="preserve">Implementation Cost Reasonableness</t>
  </si>
  <si>
    <t xml:space="preserve">Ongoing Support &amp; Maintenance Cost</t>
  </si>
  <si>
    <t xml:space="preserve">B. FUNCTIONAL FIT (Weight: ~30%)</t>
  </si>
  <si>
    <t xml:space="preserve">Core Finance &amp; Accounting Coverage</t>
  </si>
  <si>
    <t xml:space="preserve">Inventory / Supply Chain Fit</t>
  </si>
  <si>
    <t xml:space="preserve">Reporting &amp; Analytics Capability</t>
  </si>
  <si>
    <t xml:space="preserve">Industry-Specific Functionality</t>
  </si>
  <si>
    <t xml:space="preserve">Mobile &amp; User Experience</t>
  </si>
  <si>
    <t xml:space="preserve">C. TECHNICAL &amp; INTEGRATION (Weight: ~20%)</t>
  </si>
  <si>
    <t xml:space="preserve">Integration Capability (APIs, connectors)</t>
  </si>
  <si>
    <t xml:space="preserve">Data Migration Support &amp; Tools</t>
  </si>
  <si>
    <t xml:space="preserve">Security &amp; Compliance (SOC2, ISO27001)</t>
  </si>
  <si>
    <t xml:space="preserve">Scalability for Future Growth</t>
  </si>
  <si>
    <t xml:space="preserve">D. VENDOR RISK (Weight: ~15%)</t>
  </si>
  <si>
    <t xml:space="preserve">Vendor Financial Stability / Longevity</t>
  </si>
  <si>
    <t xml:space="preserve">Customer Reference Quality (SMB)</t>
  </si>
  <si>
    <t xml:space="preserve">Product Roadmap &amp; Innovation</t>
  </si>
  <si>
    <t xml:space="preserve">Contract Flexibility &amp; Exit Terms</t>
  </si>
  <si>
    <t xml:space="preserve">E. IMPLEMENTATION RISK (Weight: ~10%)</t>
  </si>
  <si>
    <t xml:space="preserve">Implementation Partner Ecosystem</t>
  </si>
  <si>
    <t xml:space="preserve">Go-Live Timeline Reasonableness</t>
  </si>
  <si>
    <t xml:space="preserve">Training &amp; Change Mgmt Support</t>
  </si>
  <si>
    <t xml:space="preserve">Post Go-Live Support Quality</t>
  </si>
  <si>
    <t xml:space="preserve">WEIGHTED TOTAL SCORE (Maximum = 100%)</t>
  </si>
  <si>
    <t xml:space="preserve">Total Weighted Score</t>
  </si>
  <si>
    <t xml:space="preserve">5.0 max</t>
  </si>
  <si>
    <t xml:space="preserve">SELECTION GUIDANCE</t>
  </si>
  <si>
    <t xml:space="preserve">Score 4.0+</t>
  </si>
  <si>
    <t xml:space="preserve">Strong fit. Proceed to detailed contract negotiation and reference checks.</t>
  </si>
  <si>
    <t xml:space="preserve">Score 3.0–3.9</t>
  </si>
  <si>
    <t xml:space="preserve">Acceptable. Negotiate on weak criteria before committing. Request pilot or proof of concept.</t>
  </si>
  <si>
    <t xml:space="preserve">Score 2.0–2.9</t>
  </si>
  <si>
    <t xml:space="preserve">Marginal. Material gaps exist. Require vendor remediation plan or eliminate.</t>
  </si>
  <si>
    <t xml:space="preserve">Score below 2.0</t>
  </si>
  <si>
    <t xml:space="preserve">Disqualify. Fundamental misalignment on weighted priorities.</t>
  </si>
  <si>
    <t xml:space="preserve">TCO Tiebreaker</t>
  </si>
  <si>
    <t xml:space="preserve">When two vendors score within 0.3 points, default to lower 5-year TCO NPV as tiebreaker.</t>
  </si>
</sst>
</file>

<file path=xl/styles.xml><?xml version="1.0" encoding="utf-8"?>
<styleSheet xmlns="http://schemas.openxmlformats.org/spreadsheetml/2006/main">
  <numFmts count="8">
    <numFmt numFmtId="164" formatCode="General"/>
    <numFmt numFmtId="165" formatCode="\$#,##0;&quot;($&quot;#,##0\);\-"/>
    <numFmt numFmtId="166" formatCode="0.0%;\-0.0%;\-"/>
    <numFmt numFmtId="167" formatCode="#,##0.0;\(#,##0.0\);\-"/>
    <numFmt numFmtId="168" formatCode="#,##0;\(#,##0\);\-"/>
    <numFmt numFmtId="169" formatCode="@"/>
    <numFmt numFmtId="170" formatCode="0.00%;\-0.00%;\-"/>
    <numFmt numFmtId="171" formatCode="0.0%;\-0.0%;\-"/>
  </numFmts>
  <fonts count="37">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9"/>
      <color rgb="FFFFFFFF"/>
      <name val="Arial"/>
      <family val="0"/>
      <charset val="1"/>
    </font>
    <font>
      <b val="true"/>
      <sz val="9"/>
      <color rgb="FFFFFFFF"/>
      <name val="Arial"/>
      <family val="0"/>
      <charset val="1"/>
    </font>
    <font>
      <b val="true"/>
      <sz val="8"/>
      <color rgb="FF000000"/>
      <name val="Arial"/>
      <family val="0"/>
      <charset val="1"/>
    </font>
    <font>
      <b val="true"/>
      <sz val="9"/>
      <color rgb="FF000000"/>
      <name val="Arial"/>
      <family val="0"/>
      <charset val="1"/>
    </font>
    <font>
      <b val="true"/>
      <sz val="10"/>
      <color rgb="FF1565C0"/>
      <name val="Arial"/>
      <family val="0"/>
      <charset val="1"/>
    </font>
    <font>
      <b val="true"/>
      <sz val="10"/>
      <color rgb="FF6A1B9A"/>
      <name val="Arial"/>
      <family val="0"/>
      <charset val="1"/>
    </font>
    <font>
      <b val="true"/>
      <sz val="10"/>
      <color rgb="FF000000"/>
      <name val="Arial"/>
      <family val="0"/>
      <charset val="1"/>
    </font>
    <font>
      <b val="true"/>
      <sz val="9"/>
      <color rgb="FF1F6B3A"/>
      <name val="Arial"/>
      <family val="0"/>
      <charset val="1"/>
    </font>
    <font>
      <i val="true"/>
      <sz val="8"/>
      <color rgb="FF595959"/>
      <name val="Arial"/>
      <family val="0"/>
      <charset val="1"/>
    </font>
    <font>
      <b val="true"/>
      <sz val="9"/>
      <color rgb="FF1565C0"/>
      <name val="Arial"/>
      <family val="0"/>
      <charset val="1"/>
    </font>
    <font>
      <b val="true"/>
      <sz val="9"/>
      <color rgb="FF6A1B9A"/>
      <name val="Arial"/>
      <family val="0"/>
      <charset val="1"/>
    </font>
    <font>
      <b val="true"/>
      <sz val="8"/>
      <color rgb="FF1565C0"/>
      <name val="Arial"/>
      <family val="0"/>
      <charset val="1"/>
    </font>
    <font>
      <i val="true"/>
      <sz val="8"/>
      <color rgb="FF000000"/>
      <name val="Arial"/>
      <family val="0"/>
      <charset val="1"/>
    </font>
    <font>
      <b val="true"/>
      <sz val="8"/>
      <color rgb="FF6A1B9A"/>
      <name val="Arial"/>
      <family val="0"/>
      <charset val="1"/>
    </font>
    <font>
      <b val="true"/>
      <sz val="10"/>
      <color rgb="FFFFFFFF"/>
      <name val="Arial"/>
      <family val="0"/>
      <charset val="1"/>
    </font>
    <font>
      <b val="true"/>
      <sz val="9"/>
      <color rgb="FFC9A84C"/>
      <name val="Arial"/>
      <family val="0"/>
      <charset val="1"/>
    </font>
    <font>
      <sz val="9"/>
      <color rgb="FF000000"/>
      <name val="Arial"/>
      <family val="0"/>
      <charset val="1"/>
    </font>
    <font>
      <b val="true"/>
      <sz val="14"/>
      <color rgb="FFFFFFFF"/>
      <name val="Arial"/>
      <family val="0"/>
      <charset val="1"/>
    </font>
    <font>
      <sz val="9"/>
      <color rgb="FF0000FF"/>
      <name val="Arial"/>
      <family val="0"/>
      <charset val="1"/>
    </font>
    <font>
      <b val="true"/>
      <sz val="13"/>
      <color rgb="FFFFFFFF"/>
      <name val="Arial"/>
      <family val="0"/>
      <charset val="1"/>
    </font>
    <font>
      <b val="true"/>
      <sz val="8"/>
      <color rgb="FFFFFFFF"/>
      <name val="Arial"/>
      <family val="0"/>
      <charset val="1"/>
    </font>
    <font>
      <b val="true"/>
      <sz val="9"/>
      <color rgb="FF1F3864"/>
      <name val="Arial"/>
      <family val="0"/>
      <charset val="1"/>
    </font>
    <font>
      <b val="true"/>
      <sz val="11"/>
      <color rgb="FFFFFFFF"/>
      <name val="Arial"/>
      <family val="0"/>
      <charset val="1"/>
    </font>
    <font>
      <b val="true"/>
      <sz val="10"/>
      <color rgb="FF1F3864"/>
      <name val="Arial"/>
      <family val="0"/>
      <charset val="1"/>
    </font>
    <font>
      <sz val="8"/>
      <color rgb="FF000000"/>
      <name val="Arial"/>
      <family val="0"/>
      <charset val="1"/>
    </font>
    <font>
      <sz val="8"/>
      <color rgb="FF0000FF"/>
      <name val="Arial"/>
      <family val="0"/>
      <charset val="1"/>
    </font>
    <font>
      <b val="true"/>
      <sz val="8"/>
      <color rgb="FFC9A84C"/>
      <name val="Arial"/>
      <family val="0"/>
      <charset val="1"/>
    </font>
    <font>
      <b val="true"/>
      <sz val="10"/>
      <color rgb="FF1F6B3A"/>
      <name val="Arial"/>
      <family val="0"/>
      <charset val="1"/>
    </font>
    <font>
      <sz val="9"/>
      <color rgb="FF1565C0"/>
      <name val="Arial"/>
      <family val="0"/>
      <charset val="1"/>
    </font>
    <font>
      <sz val="9"/>
      <color rgb="FF6A1B9A"/>
      <name val="Arial"/>
      <family val="0"/>
      <charset val="1"/>
    </font>
    <font>
      <sz val="9"/>
      <color rgb="FF8B0000"/>
      <name val="Arial"/>
      <family val="0"/>
      <charset val="1"/>
    </font>
    <font>
      <sz val="9"/>
      <color rgb="FF006400"/>
      <name val="Arial"/>
      <family val="0"/>
      <charset val="1"/>
    </font>
  </fonts>
  <fills count="16">
    <fill>
      <patternFill patternType="none"/>
    </fill>
    <fill>
      <patternFill patternType="gray125"/>
    </fill>
    <fill>
      <patternFill patternType="solid">
        <fgColor rgb="FF1F3864"/>
        <bgColor rgb="FF17375E"/>
      </patternFill>
    </fill>
    <fill>
      <patternFill patternType="solid">
        <fgColor rgb="FF17375E"/>
        <bgColor rgb="FF1F3864"/>
      </patternFill>
    </fill>
    <fill>
      <patternFill patternType="solid">
        <fgColor rgb="FFD6E4F0"/>
        <bgColor rgb="FFD4EDDA"/>
      </patternFill>
    </fill>
    <fill>
      <patternFill patternType="solid">
        <fgColor rgb="FFF2F7FB"/>
        <bgColor rgb="FFE8F4FD"/>
      </patternFill>
    </fill>
    <fill>
      <patternFill patternType="solid">
        <fgColor rgb="FFFFFFFF"/>
        <bgColor rgb="FFF2F7FB"/>
      </patternFill>
    </fill>
    <fill>
      <patternFill patternType="solid">
        <fgColor rgb="FFE8F4FD"/>
        <bgColor rgb="FFF2F7FB"/>
      </patternFill>
    </fill>
    <fill>
      <patternFill patternType="solid">
        <fgColor rgb="FFEDE8F7"/>
        <bgColor rgb="FFE8F4FD"/>
      </patternFill>
    </fill>
    <fill>
      <patternFill patternType="solid">
        <fgColor rgb="FF8B1A1A"/>
        <bgColor rgb="FF8B0000"/>
      </patternFill>
    </fill>
    <fill>
      <patternFill patternType="solid">
        <fgColor rgb="FF1F6B3A"/>
        <bgColor rgb="FF006400"/>
      </patternFill>
    </fill>
    <fill>
      <patternFill patternType="solid">
        <fgColor rgb="FFFFFF00"/>
        <bgColor rgb="FFFFFF00"/>
      </patternFill>
    </fill>
    <fill>
      <patternFill patternType="solid">
        <fgColor rgb="FF1565C0"/>
        <bgColor rgb="FF3366FF"/>
      </patternFill>
    </fill>
    <fill>
      <patternFill patternType="solid">
        <fgColor rgb="FF6A1B9A"/>
        <bgColor rgb="FF800080"/>
      </patternFill>
    </fill>
    <fill>
      <patternFill patternType="solid">
        <fgColor rgb="FFFFDADA"/>
        <bgColor rgb="FFEDE8F7"/>
      </patternFill>
    </fill>
    <fill>
      <patternFill patternType="solid">
        <fgColor rgb="FFD4EDDA"/>
        <bgColor rgb="FFD6E4F0"/>
      </patternFill>
    </fill>
  </fills>
  <borders count="3">
    <border diagonalUp="false" diagonalDown="false">
      <left/>
      <right/>
      <top/>
      <bottom/>
      <diagonal/>
    </border>
    <border diagonalUp="false" diagonalDown="false">
      <left style="thin">
        <color rgb="FFB0B8C8"/>
      </left>
      <right style="thin">
        <color rgb="FFB0B8C8"/>
      </right>
      <top style="thin">
        <color rgb="FFB0B8C8"/>
      </top>
      <bottom style="thin">
        <color rgb="FFB0B8C8"/>
      </bottom>
      <diagonal/>
    </border>
    <border diagonalUp="false" diagonalDown="false">
      <left style="thin">
        <color rgb="FFB0B8C8"/>
      </left>
      <right/>
      <top style="thin">
        <color rgb="FFB0B8C8"/>
      </top>
      <bottom style="thin">
        <color rgb="FFB0B8C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2" shrinkToFit="false"/>
      <protection locked="true" hidden="false"/>
    </xf>
    <xf numFmtId="164" fontId="5" fillId="3" borderId="0" xfId="0" applyFont="true" applyBorder="true" applyAlignment="true" applyProtection="false">
      <alignment horizontal="left" vertical="center" textRotation="0" wrapText="false" indent="2" shrinkToFit="false"/>
      <protection locked="true" hidden="false"/>
    </xf>
    <xf numFmtId="164" fontId="6" fillId="2" borderId="0" xfId="0" applyFont="true" applyBorder="true" applyAlignment="true" applyProtection="false">
      <alignment horizontal="left" vertical="center" textRotation="0" wrapText="false" indent="1"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false" indent="1" shrinkToFit="false"/>
      <protection locked="true" hidden="false"/>
    </xf>
    <xf numFmtId="165" fontId="9" fillId="5" borderId="1" xfId="0" applyFont="true" applyBorder="true" applyAlignment="true" applyProtection="false">
      <alignment horizontal="center" vertical="center" textRotation="0" wrapText="false" indent="0" shrinkToFit="false"/>
      <protection locked="true" hidden="false"/>
    </xf>
    <xf numFmtId="165" fontId="10" fillId="5" borderId="1" xfId="0" applyFont="true" applyBorder="true" applyAlignment="true" applyProtection="false">
      <alignment horizontal="center" vertical="center" textRotation="0" wrapText="false" indent="0" shrinkToFit="false"/>
      <protection locked="true" hidden="false"/>
    </xf>
    <xf numFmtId="165" fontId="11" fillId="5" borderId="1" xfId="0" applyFont="true" applyBorder="true" applyAlignment="true" applyProtection="false">
      <alignment horizontal="center" vertical="center" textRotation="0" wrapText="false" indent="0" shrinkToFit="false"/>
      <protection locked="true" hidden="false"/>
    </xf>
    <xf numFmtId="164" fontId="12" fillId="5"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true" indent="0" shrinkToFit="false"/>
      <protection locked="true" hidden="false"/>
    </xf>
    <xf numFmtId="164" fontId="8" fillId="6" borderId="1" xfId="0" applyFont="true" applyBorder="true" applyAlignment="true" applyProtection="false">
      <alignment horizontal="left" vertical="center" textRotation="0" wrapText="false" indent="1" shrinkToFit="false"/>
      <protection locked="true" hidden="false"/>
    </xf>
    <xf numFmtId="165" fontId="9" fillId="6" borderId="1" xfId="0" applyFont="true" applyBorder="true" applyAlignment="true" applyProtection="false">
      <alignment horizontal="center" vertical="center" textRotation="0" wrapText="false" indent="0" shrinkToFit="false"/>
      <protection locked="true" hidden="false"/>
    </xf>
    <xf numFmtId="165" fontId="10" fillId="6" borderId="1" xfId="0" applyFont="true" applyBorder="true" applyAlignment="true" applyProtection="false">
      <alignment horizontal="center" vertical="center" textRotation="0" wrapText="false" indent="0" shrinkToFit="false"/>
      <protection locked="true" hidden="false"/>
    </xf>
    <xf numFmtId="165" fontId="11" fillId="6" borderId="1" xfId="0" applyFont="true" applyBorder="true" applyAlignment="true" applyProtection="false">
      <alignment horizontal="center" vertical="center" textRotation="0" wrapText="false" indent="0" shrinkToFit="false"/>
      <protection locked="true" hidden="false"/>
    </xf>
    <xf numFmtId="164" fontId="12" fillId="6" borderId="1" xfId="0" applyFont="true" applyBorder="true" applyAlignment="true" applyProtection="false">
      <alignment horizontal="center" vertical="center" textRotation="0" wrapText="false" indent="0" shrinkToFit="false"/>
      <protection locked="true" hidden="false"/>
    </xf>
    <xf numFmtId="164" fontId="13" fillId="6" borderId="1" xfId="0" applyFont="true" applyBorder="true" applyAlignment="true" applyProtection="false">
      <alignment horizontal="left" vertical="center" textRotation="0" wrapText="true" indent="0" shrinkToFit="false"/>
      <protection locked="true" hidden="false"/>
    </xf>
    <xf numFmtId="166" fontId="9" fillId="6" borderId="1" xfId="0" applyFont="true" applyBorder="true" applyAlignment="true" applyProtection="false">
      <alignment horizontal="center" vertical="center" textRotation="0" wrapText="false" indent="0" shrinkToFit="false"/>
      <protection locked="true" hidden="false"/>
    </xf>
    <xf numFmtId="166" fontId="10" fillId="6" borderId="1" xfId="0" applyFont="true" applyBorder="true" applyAlignment="true" applyProtection="false">
      <alignment horizontal="center" vertical="center" textRotation="0" wrapText="false" indent="0" shrinkToFit="false"/>
      <protection locked="true" hidden="false"/>
    </xf>
    <xf numFmtId="166" fontId="11" fillId="6" borderId="1" xfId="0" applyFont="true" applyBorder="true" applyAlignment="true" applyProtection="false">
      <alignment horizontal="center" vertical="center" textRotation="0" wrapText="false" indent="0" shrinkToFit="false"/>
      <protection locked="true" hidden="false"/>
    </xf>
    <xf numFmtId="167" fontId="9" fillId="5" borderId="1" xfId="0" applyFont="true" applyBorder="true" applyAlignment="true" applyProtection="false">
      <alignment horizontal="center" vertical="center" textRotation="0" wrapText="false" indent="0" shrinkToFit="false"/>
      <protection locked="true" hidden="false"/>
    </xf>
    <xf numFmtId="167" fontId="10" fillId="5" borderId="1" xfId="0" applyFont="true" applyBorder="true" applyAlignment="true" applyProtection="false">
      <alignment horizontal="center" vertical="center" textRotation="0" wrapText="false" indent="0" shrinkToFit="false"/>
      <protection locked="true" hidden="false"/>
    </xf>
    <xf numFmtId="167" fontId="11" fillId="5" borderId="1" xfId="0" applyFont="true" applyBorder="true" applyAlignment="true" applyProtection="false">
      <alignment horizontal="center" vertical="center" textRotation="0" wrapText="false" indent="0" shrinkToFit="false"/>
      <protection locked="true" hidden="false"/>
    </xf>
    <xf numFmtId="164" fontId="9" fillId="7" borderId="1" xfId="0" applyFont="true" applyBorder="true" applyAlignment="true" applyProtection="false">
      <alignment horizontal="left" vertical="center" textRotation="0" wrapText="false" indent="1" shrinkToFit="false"/>
      <protection locked="true" hidden="false"/>
    </xf>
    <xf numFmtId="165" fontId="14" fillId="7" borderId="1" xfId="0" applyFont="true" applyBorder="true" applyAlignment="true" applyProtection="false">
      <alignment horizontal="center" vertical="center" textRotation="0" wrapText="false" indent="0" shrinkToFit="false"/>
      <protection locked="true" hidden="false"/>
    </xf>
    <xf numFmtId="165" fontId="9" fillId="7" borderId="1" xfId="0" applyFont="true" applyBorder="true" applyAlignment="true" applyProtection="false">
      <alignment horizontal="center" vertical="center" textRotation="0" wrapText="false" indent="0" shrinkToFit="false"/>
      <protection locked="true" hidden="false"/>
    </xf>
    <xf numFmtId="164" fontId="10" fillId="8" borderId="1" xfId="0" applyFont="true" applyBorder="true" applyAlignment="true" applyProtection="false">
      <alignment horizontal="left" vertical="center" textRotation="0" wrapText="false" indent="1" shrinkToFit="false"/>
      <protection locked="true" hidden="false"/>
    </xf>
    <xf numFmtId="165" fontId="15" fillId="8" borderId="1" xfId="0" applyFont="true" applyBorder="true" applyAlignment="true" applyProtection="false">
      <alignment horizontal="center" vertical="center" textRotation="0" wrapText="false" indent="0" shrinkToFit="false"/>
      <protection locked="true" hidden="false"/>
    </xf>
    <xf numFmtId="165" fontId="10"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left" vertical="center" textRotation="0" wrapText="false" indent="1" shrinkToFit="false"/>
      <protection locked="true" hidden="false"/>
    </xf>
    <xf numFmtId="165" fontId="6" fillId="2" borderId="1" xfId="0" applyFont="true" applyBorder="true" applyAlignment="true" applyProtection="false">
      <alignment horizontal="center" vertical="center" textRotation="0" wrapText="false" indent="0" shrinkToFit="false"/>
      <protection locked="true" hidden="false"/>
    </xf>
    <xf numFmtId="164" fontId="6" fillId="9" borderId="0" xfId="0" applyFont="true" applyBorder="true" applyAlignment="true" applyProtection="false">
      <alignment horizontal="left" vertical="center" textRotation="0" wrapText="false" indent="1" shrinkToFit="false"/>
      <protection locked="true" hidden="false"/>
    </xf>
    <xf numFmtId="164" fontId="6" fillId="9" borderId="1" xfId="0" applyFont="true" applyBorder="true" applyAlignment="true" applyProtection="false">
      <alignment horizontal="left" vertical="center" textRotation="0" wrapText="false" indent="1" shrinkToFit="false"/>
      <protection locked="true" hidden="false"/>
    </xf>
    <xf numFmtId="164" fontId="16" fillId="7" borderId="1" xfId="0" applyFont="true" applyBorder="true" applyAlignment="true" applyProtection="false">
      <alignment horizontal="left" vertical="center" textRotation="0" wrapText="false" indent="1" shrinkToFit="false"/>
      <protection locked="true" hidden="false"/>
    </xf>
    <xf numFmtId="164" fontId="17" fillId="5" borderId="1" xfId="0" applyFont="true" applyBorder="true" applyAlignment="true" applyProtection="false">
      <alignment horizontal="left" vertical="center" textRotation="0" wrapText="true" indent="0" shrinkToFit="false"/>
      <protection locked="true" hidden="false"/>
    </xf>
    <xf numFmtId="164" fontId="18" fillId="8" borderId="1" xfId="0" applyFont="true" applyBorder="true" applyAlignment="true" applyProtection="false">
      <alignment horizontal="left" vertical="center" textRotation="0" wrapText="false" indent="1" shrinkToFit="false"/>
      <protection locked="true" hidden="false"/>
    </xf>
    <xf numFmtId="164" fontId="17" fillId="6" borderId="1" xfId="0" applyFont="true" applyBorder="true" applyAlignment="true" applyProtection="false">
      <alignment horizontal="left" vertical="center" textRotation="0" wrapText="true" indent="0" shrinkToFit="false"/>
      <protection locked="true" hidden="false"/>
    </xf>
    <xf numFmtId="164" fontId="6" fillId="10" borderId="0" xfId="0" applyFont="true" applyBorder="true" applyAlignment="true" applyProtection="false">
      <alignment horizontal="left" vertical="center" textRotation="0" wrapText="false" indent="1" shrinkToFit="false"/>
      <protection locked="true" hidden="false"/>
    </xf>
    <xf numFmtId="164" fontId="19" fillId="10" borderId="1" xfId="0" applyFont="true" applyBorder="true" applyAlignment="true" applyProtection="false">
      <alignment horizontal="left" vertical="center" textRotation="0" wrapText="true" indent="2" shrinkToFit="false"/>
      <protection locked="true" hidden="false"/>
    </xf>
    <xf numFmtId="164" fontId="20" fillId="5" borderId="1" xfId="0" applyFont="true" applyBorder="true" applyAlignment="true" applyProtection="false">
      <alignment horizontal="left" vertical="center" textRotation="0" wrapText="false" indent="1" shrinkToFit="false"/>
      <protection locked="true" hidden="false"/>
    </xf>
    <xf numFmtId="164" fontId="21" fillId="5" borderId="1" xfId="0" applyFont="true" applyBorder="true" applyAlignment="true" applyProtection="false">
      <alignment horizontal="left" vertical="center" textRotation="0" wrapText="true" indent="0" shrinkToFit="false"/>
      <protection locked="true" hidden="false"/>
    </xf>
    <xf numFmtId="164" fontId="20" fillId="6" borderId="1" xfId="0" applyFont="true" applyBorder="true" applyAlignment="true" applyProtection="false">
      <alignment horizontal="left" vertical="center" textRotation="0" wrapText="false" indent="1" shrinkToFit="false"/>
      <protection locked="true" hidden="false"/>
    </xf>
    <xf numFmtId="164" fontId="21" fillId="6" borderId="1" xfId="0" applyFont="true" applyBorder="true" applyAlignment="true" applyProtection="false">
      <alignment horizontal="left" vertical="center" textRotation="0" wrapText="true" indent="0" shrinkToFit="false"/>
      <protection locked="true" hidden="false"/>
    </xf>
    <xf numFmtId="164" fontId="22" fillId="2" borderId="0" xfId="0" applyFont="true" applyBorder="true" applyAlignment="true" applyProtection="false">
      <alignment horizontal="left" vertical="center" textRotation="0" wrapText="false" indent="2"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6" fillId="7" borderId="1" xfId="0" applyFont="true" applyBorder="true" applyAlignment="true" applyProtection="false">
      <alignment horizontal="center" vertical="center" textRotation="0" wrapText="true" indent="0" shrinkToFit="false"/>
      <protection locked="true" hidden="false"/>
    </xf>
    <xf numFmtId="164" fontId="18" fillId="8" borderId="1" xfId="0" applyFont="true" applyBorder="true" applyAlignment="true" applyProtection="false">
      <alignment horizontal="center" vertical="center" textRotation="0" wrapText="true" indent="0" shrinkToFit="false"/>
      <protection locked="true" hidden="false"/>
    </xf>
    <xf numFmtId="164" fontId="21" fillId="5" borderId="1" xfId="0" applyFont="true" applyBorder="true" applyAlignment="true" applyProtection="false">
      <alignment horizontal="left" vertical="center" textRotation="0" wrapText="false" indent="1" shrinkToFit="false"/>
      <protection locked="true" hidden="false"/>
    </xf>
    <xf numFmtId="168" fontId="23" fillId="11"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false" indent="1" shrinkToFit="false"/>
      <protection locked="true" hidden="false"/>
    </xf>
    <xf numFmtId="164" fontId="21" fillId="6" borderId="1" xfId="0" applyFont="true" applyBorder="true" applyAlignment="true" applyProtection="false">
      <alignment horizontal="left" vertical="center" textRotation="0" wrapText="false" indent="1" shrinkToFit="false"/>
      <protection locked="true" hidden="false"/>
    </xf>
    <xf numFmtId="165" fontId="23" fillId="11" borderId="1" xfId="0" applyFont="true" applyBorder="true" applyAlignment="true" applyProtection="false">
      <alignment horizontal="center" vertical="center" textRotation="0" wrapText="false" indent="0" shrinkToFit="false"/>
      <protection locked="true" hidden="false"/>
    </xf>
    <xf numFmtId="169" fontId="23" fillId="11" borderId="1" xfId="0" applyFont="true" applyBorder="true" applyAlignment="true" applyProtection="false">
      <alignment horizontal="center" vertical="center" textRotation="0" wrapText="false" indent="0" shrinkToFit="false"/>
      <protection locked="true" hidden="false"/>
    </xf>
    <xf numFmtId="170" fontId="23" fillId="11" borderId="1"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left" vertical="center" textRotation="0" wrapText="false" indent="1" shrinkToFit="false"/>
      <protection locked="true" hidden="false"/>
    </xf>
    <xf numFmtId="167" fontId="23" fillId="11" borderId="1" xfId="0" applyFont="true" applyBorder="true" applyAlignment="true" applyProtection="false">
      <alignment horizontal="center" vertical="center" textRotation="0" wrapText="false" indent="0" shrinkToFit="false"/>
      <protection locked="true" hidden="false"/>
    </xf>
    <xf numFmtId="164" fontId="24" fillId="12" borderId="0" xfId="0" applyFont="true" applyBorder="true" applyAlignment="true" applyProtection="false">
      <alignment horizontal="left" vertical="center" textRotation="0" wrapText="false" indent="2" shrinkToFit="false"/>
      <protection locked="true" hidden="false"/>
    </xf>
    <xf numFmtId="164" fontId="6" fillId="12" borderId="0" xfId="0" applyFont="true" applyBorder="true" applyAlignment="true" applyProtection="false">
      <alignment horizontal="left" vertical="center" textRotation="0" wrapText="false" indent="1" shrinkToFit="false"/>
      <protection locked="true" hidden="false"/>
    </xf>
    <xf numFmtId="164" fontId="25" fillId="12" borderId="1" xfId="0" applyFont="true" applyBorder="true" applyAlignment="true" applyProtection="false">
      <alignment horizontal="center" vertical="center" textRotation="0" wrapText="true" indent="0" shrinkToFit="false"/>
      <protection locked="true" hidden="false"/>
    </xf>
    <xf numFmtId="164" fontId="25" fillId="3" borderId="0" xfId="0" applyFont="true" applyBorder="true" applyAlignment="true" applyProtection="false">
      <alignment horizontal="left" vertical="center" textRotation="0" wrapText="false" indent="1" shrinkToFit="false"/>
      <protection locked="true" hidden="false"/>
    </xf>
    <xf numFmtId="164" fontId="21" fillId="5" borderId="1" xfId="0" applyFont="true" applyBorder="true" applyAlignment="true" applyProtection="false">
      <alignment horizontal="left" vertical="center" textRotation="0" wrapText="false" indent="2" shrinkToFit="false"/>
      <protection locked="true" hidden="false"/>
    </xf>
    <xf numFmtId="165" fontId="21" fillId="5" borderId="1" xfId="0" applyFont="true" applyBorder="true" applyAlignment="true" applyProtection="false">
      <alignment horizontal="center" vertical="center" textRotation="0" wrapText="false" indent="0" shrinkToFit="false"/>
      <protection locked="true" hidden="false"/>
    </xf>
    <xf numFmtId="165" fontId="26" fillId="5" borderId="1" xfId="0" applyFont="true" applyBorder="true" applyAlignment="true" applyProtection="false">
      <alignment horizontal="center" vertical="center" textRotation="0" wrapText="false" indent="0" shrinkToFit="false"/>
      <protection locked="true" hidden="false"/>
    </xf>
    <xf numFmtId="165" fontId="21" fillId="6" borderId="1" xfId="0" applyFont="true" applyBorder="true" applyAlignment="true" applyProtection="false">
      <alignment horizontal="center" vertical="center" textRotation="0" wrapText="false" indent="0" shrinkToFit="false"/>
      <protection locked="true" hidden="false"/>
    </xf>
    <xf numFmtId="165" fontId="26" fillId="6" borderId="1" xfId="0" applyFont="true" applyBorder="true" applyAlignment="true" applyProtection="false">
      <alignment horizontal="center" vertical="center" textRotation="0" wrapText="false" indent="0" shrinkToFit="false"/>
      <protection locked="true" hidden="false"/>
    </xf>
    <xf numFmtId="164" fontId="21" fillId="6" borderId="1" xfId="0" applyFont="true" applyBorder="true" applyAlignment="true" applyProtection="false">
      <alignment horizontal="left" vertical="center" textRotation="0" wrapText="false" indent="2" shrinkToFit="false"/>
      <protection locked="true" hidden="false"/>
    </xf>
    <xf numFmtId="164" fontId="19" fillId="2" borderId="0" xfId="0" applyFont="true" applyBorder="true" applyAlignment="true" applyProtection="false">
      <alignment horizontal="left" vertical="center" textRotation="0" wrapText="false" indent="1" shrinkToFit="false"/>
      <protection locked="true" hidden="false"/>
    </xf>
    <xf numFmtId="165" fontId="19" fillId="2" borderId="1" xfId="0" applyFont="true" applyBorder="true" applyAlignment="true" applyProtection="false">
      <alignment horizontal="center" vertical="center" textRotation="0" wrapText="false" indent="0" shrinkToFit="false"/>
      <protection locked="true" hidden="false"/>
    </xf>
    <xf numFmtId="165" fontId="27" fillId="2" borderId="1" xfId="0" applyFont="true" applyBorder="true" applyAlignment="true" applyProtection="false">
      <alignment horizontal="center" vertical="center" textRotation="0" wrapText="false" indent="0" shrinkToFit="false"/>
      <protection locked="true" hidden="false"/>
    </xf>
    <xf numFmtId="165" fontId="28" fillId="5" borderId="2" xfId="0" applyFont="true" applyBorder="true" applyAlignment="true" applyProtection="false">
      <alignment horizontal="center" vertical="center" textRotation="0" wrapText="false" indent="0" shrinkToFit="false"/>
      <protection locked="true" hidden="false"/>
    </xf>
    <xf numFmtId="165" fontId="28" fillId="5" borderId="1" xfId="0" applyFont="true" applyBorder="true" applyAlignment="true" applyProtection="false">
      <alignment horizontal="center" vertical="center" textRotation="0" wrapText="false" indent="0" shrinkToFit="false"/>
      <protection locked="true" hidden="false"/>
    </xf>
    <xf numFmtId="165" fontId="21" fillId="6"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24" fillId="13" borderId="0" xfId="0" applyFont="true" applyBorder="true" applyAlignment="true" applyProtection="false">
      <alignment horizontal="left" vertical="center" textRotation="0" wrapText="false" indent="2" shrinkToFit="false"/>
      <protection locked="true" hidden="false"/>
    </xf>
    <xf numFmtId="164" fontId="6" fillId="13" borderId="0" xfId="0" applyFont="true" applyBorder="true" applyAlignment="true" applyProtection="false">
      <alignment horizontal="left" vertical="center" textRotation="0" wrapText="false" indent="1" shrinkToFit="false"/>
      <protection locked="true" hidden="false"/>
    </xf>
    <xf numFmtId="164" fontId="25" fillId="13" borderId="1" xfId="0" applyFont="true" applyBorder="true" applyAlignment="true" applyProtection="false">
      <alignment horizontal="center" vertical="center" textRotation="0" wrapText="true" indent="0" shrinkToFit="false"/>
      <protection locked="true" hidden="false"/>
    </xf>
    <xf numFmtId="164" fontId="24" fillId="2" borderId="0" xfId="0" applyFont="true" applyBorder="true" applyAlignment="true" applyProtection="false">
      <alignment horizontal="left" vertical="center" textRotation="0" wrapText="false" indent="2" shrinkToFit="false"/>
      <protection locked="true" hidden="false"/>
    </xf>
    <xf numFmtId="164" fontId="6" fillId="13" borderId="0" xfId="0" applyFont="true" applyBorder="true" applyAlignment="true" applyProtection="false">
      <alignment horizontal="general" vertical="bottom" textRotation="0" wrapText="false" indent="0" shrinkToFit="false"/>
      <protection locked="true" hidden="false"/>
    </xf>
    <xf numFmtId="169" fontId="29" fillId="5" borderId="1" xfId="0" applyFont="true" applyBorder="true" applyAlignment="true" applyProtection="false">
      <alignment horizontal="left" vertical="center" textRotation="0" wrapText="false" indent="1" shrinkToFit="false"/>
      <protection locked="true" hidden="false"/>
    </xf>
    <xf numFmtId="165" fontId="30" fillId="5" borderId="1" xfId="0" applyFont="true" applyBorder="true" applyAlignment="true" applyProtection="false">
      <alignment horizontal="center" vertical="center" textRotation="0" wrapText="false" indent="0" shrinkToFit="false"/>
      <protection locked="true" hidden="false"/>
    </xf>
    <xf numFmtId="169" fontId="29" fillId="5" borderId="1" xfId="0" applyFont="true" applyBorder="true" applyAlignment="true" applyProtection="false">
      <alignment horizontal="center" vertical="center" textRotation="0" wrapText="false" indent="0" shrinkToFit="false"/>
      <protection locked="true" hidden="false"/>
    </xf>
    <xf numFmtId="169" fontId="29" fillId="6" borderId="1" xfId="0" applyFont="true" applyBorder="true" applyAlignment="true" applyProtection="false">
      <alignment horizontal="left" vertical="center" textRotation="0" wrapText="false" indent="1" shrinkToFit="false"/>
      <protection locked="true" hidden="false"/>
    </xf>
    <xf numFmtId="165" fontId="30" fillId="6" borderId="1" xfId="0" applyFont="true" applyBorder="true" applyAlignment="true" applyProtection="false">
      <alignment horizontal="center" vertical="center" textRotation="0" wrapText="false" indent="0" shrinkToFit="false"/>
      <protection locked="true" hidden="false"/>
    </xf>
    <xf numFmtId="169" fontId="29" fillId="6" borderId="1" xfId="0" applyFont="true" applyBorder="true" applyAlignment="true" applyProtection="false">
      <alignment horizontal="center" vertical="center" textRotation="0" wrapText="false" indent="0" shrinkToFit="false"/>
      <protection locked="true" hidden="false"/>
    </xf>
    <xf numFmtId="164" fontId="31" fillId="3" borderId="1" xfId="0" applyFont="true" applyBorder="true" applyAlignment="true" applyProtection="false">
      <alignment horizontal="left" vertical="center" textRotation="0" wrapText="false" indent="1" shrinkToFit="false"/>
      <protection locked="true" hidden="false"/>
    </xf>
    <xf numFmtId="164" fontId="29" fillId="3" borderId="1" xfId="0" applyFont="true" applyBorder="true" applyAlignment="true" applyProtection="false">
      <alignment horizontal="left" vertical="center" textRotation="0" wrapText="true" indent="0" shrinkToFit="false"/>
      <protection locked="true" hidden="false"/>
    </xf>
    <xf numFmtId="164" fontId="24" fillId="10" borderId="0" xfId="0" applyFont="true" applyBorder="true" applyAlignment="true" applyProtection="false">
      <alignment horizontal="left" vertical="center" textRotation="0" wrapText="false" indent="2" shrinkToFit="false"/>
      <protection locked="true" hidden="false"/>
    </xf>
    <xf numFmtId="165" fontId="12" fillId="5"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65" fontId="12" fillId="6" borderId="1" xfId="0" applyFont="true" applyBorder="true" applyAlignment="true" applyProtection="false">
      <alignment horizontal="center" vertical="center" textRotation="0" wrapText="false" indent="0" shrinkToFit="false"/>
      <protection locked="true" hidden="false"/>
    </xf>
    <xf numFmtId="164" fontId="11" fillId="5" borderId="1" xfId="0" applyFont="true" applyBorder="true" applyAlignment="true" applyProtection="false">
      <alignment horizontal="left" vertical="center" textRotation="0" wrapText="false" indent="1" shrinkToFit="false"/>
      <protection locked="true" hidden="false"/>
    </xf>
    <xf numFmtId="165" fontId="32" fillId="5" borderId="1" xfId="0" applyFont="true" applyBorder="true" applyAlignment="true" applyProtection="false">
      <alignment horizontal="center" vertical="center" textRotation="0" wrapText="false" indent="0" shrinkToFit="false"/>
      <protection locked="true" hidden="false"/>
    </xf>
    <xf numFmtId="165" fontId="33" fillId="5" borderId="1" xfId="0" applyFont="true" applyBorder="true" applyAlignment="true" applyProtection="false">
      <alignment horizontal="center" vertical="center" textRotation="0" wrapText="false" indent="0" shrinkToFit="false"/>
      <protection locked="true" hidden="false"/>
    </xf>
    <xf numFmtId="165" fontId="34" fillId="5" borderId="1" xfId="0" applyFont="true" applyBorder="true" applyAlignment="true" applyProtection="false">
      <alignment horizontal="center" vertical="center" textRotation="0" wrapText="false" indent="0" shrinkToFit="false"/>
      <protection locked="true" hidden="false"/>
    </xf>
    <xf numFmtId="165" fontId="33" fillId="6" borderId="1" xfId="0" applyFont="true" applyBorder="true" applyAlignment="true" applyProtection="false">
      <alignment horizontal="center" vertical="center" textRotation="0" wrapText="false" indent="0" shrinkToFit="false"/>
      <protection locked="true" hidden="false"/>
    </xf>
    <xf numFmtId="165" fontId="34" fillId="6" borderId="1" xfId="0" applyFont="true" applyBorder="true" applyAlignment="true" applyProtection="false">
      <alignment horizontal="center" vertical="center" textRotation="0" wrapText="false" indent="0" shrinkToFit="false"/>
      <protection locked="true" hidden="false"/>
    </xf>
    <xf numFmtId="165" fontId="14" fillId="5" borderId="1" xfId="0" applyFont="true" applyBorder="true" applyAlignment="true" applyProtection="false">
      <alignment horizontal="center" vertical="center" textRotation="0" wrapText="false" indent="0" shrinkToFit="false"/>
      <protection locked="true" hidden="false"/>
    </xf>
    <xf numFmtId="165" fontId="15" fillId="5" borderId="1" xfId="0" applyFont="true" applyBorder="true" applyAlignment="true" applyProtection="false">
      <alignment horizontal="center" vertical="center" textRotation="0" wrapText="false" indent="0" shrinkToFit="false"/>
      <protection locked="true" hidden="false"/>
    </xf>
    <xf numFmtId="165" fontId="8" fillId="5" borderId="1" xfId="0" applyFont="true" applyBorder="true" applyAlignment="true" applyProtection="false">
      <alignment horizontal="center" vertical="center" textRotation="0" wrapText="false" indent="0" shrinkToFit="false"/>
      <protection locked="true" hidden="false"/>
    </xf>
    <xf numFmtId="166" fontId="14" fillId="6" borderId="1" xfId="0" applyFont="true" applyBorder="true" applyAlignment="true" applyProtection="false">
      <alignment horizontal="center" vertical="center" textRotation="0" wrapText="false" indent="0" shrinkToFit="false"/>
      <protection locked="true" hidden="false"/>
    </xf>
    <xf numFmtId="166" fontId="15" fillId="6" borderId="1" xfId="0" applyFont="true" applyBorder="true" applyAlignment="true" applyProtection="false">
      <alignment horizontal="center" vertical="center" textRotation="0" wrapText="false" indent="0" shrinkToFit="false"/>
      <protection locked="true" hidden="false"/>
    </xf>
    <xf numFmtId="166" fontId="8" fillId="6" borderId="1" xfId="0" applyFont="true" applyBorder="true" applyAlignment="true" applyProtection="false">
      <alignment horizontal="center" vertical="center" textRotation="0" wrapText="false" indent="0" shrinkToFit="false"/>
      <protection locked="true" hidden="false"/>
    </xf>
    <xf numFmtId="171" fontId="14" fillId="5" borderId="1" xfId="0" applyFont="true" applyBorder="true" applyAlignment="true" applyProtection="false">
      <alignment horizontal="center" vertical="center" textRotation="0" wrapText="false" indent="0" shrinkToFit="false"/>
      <protection locked="true" hidden="false"/>
    </xf>
    <xf numFmtId="171" fontId="15" fillId="5" borderId="1" xfId="0" applyFont="true" applyBorder="true" applyAlignment="true" applyProtection="false">
      <alignment horizontal="center" vertical="center" textRotation="0" wrapText="false" indent="0" shrinkToFit="false"/>
      <protection locked="true" hidden="false"/>
    </xf>
    <xf numFmtId="166" fontId="8" fillId="5" borderId="1" xfId="0" applyFont="true" applyBorder="true" applyAlignment="true" applyProtection="false">
      <alignment horizontal="center" vertical="center" textRotation="0" wrapText="false" indent="0" shrinkToFit="false"/>
      <protection locked="true" hidden="false"/>
    </xf>
    <xf numFmtId="167" fontId="14" fillId="6" borderId="1" xfId="0" applyFont="true" applyBorder="true" applyAlignment="true" applyProtection="false">
      <alignment horizontal="center" vertical="center" textRotation="0" wrapText="false" indent="0" shrinkToFit="false"/>
      <protection locked="true" hidden="false"/>
    </xf>
    <xf numFmtId="167" fontId="15" fillId="6" borderId="1" xfId="0" applyFont="true" applyBorder="true" applyAlignment="true" applyProtection="false">
      <alignment horizontal="center" vertical="center" textRotation="0" wrapText="false" indent="0" shrinkToFit="false"/>
      <protection locked="true" hidden="false"/>
    </xf>
    <xf numFmtId="167" fontId="8" fillId="6" borderId="1" xfId="0" applyFont="true" applyBorder="true" applyAlignment="true" applyProtection="false">
      <alignment horizontal="center" vertical="center" textRotation="0" wrapText="false" indent="0" shrinkToFit="false"/>
      <protection locked="true" hidden="false"/>
    </xf>
    <xf numFmtId="165" fontId="35" fillId="14" borderId="1" xfId="0" applyFont="true" applyBorder="true" applyAlignment="true" applyProtection="false">
      <alignment horizontal="center" vertical="center" textRotation="0" wrapText="false" indent="0" shrinkToFit="false"/>
      <protection locked="true" hidden="false"/>
    </xf>
    <xf numFmtId="165" fontId="36" fillId="15" borderId="1" xfId="0" applyFont="true" applyBorder="tru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general" vertical="bottom" textRotation="0" wrapText="false" indent="0" shrinkToFit="false"/>
      <protection locked="true" hidden="false"/>
    </xf>
    <xf numFmtId="168" fontId="14" fillId="7" borderId="1" xfId="0" applyFont="true" applyBorder="true" applyAlignment="true" applyProtection="false">
      <alignment horizontal="center" vertical="center" textRotation="0" wrapText="false" indent="0" shrinkToFit="false"/>
      <protection locked="true" hidden="false"/>
    </xf>
    <xf numFmtId="166" fontId="15" fillId="8" borderId="1" xfId="0" applyFont="true" applyBorder="true" applyAlignment="true" applyProtection="false">
      <alignment horizontal="center" vertical="center" textRotation="0" wrapText="false" indent="0" shrinkToFit="false"/>
      <protection locked="true" hidden="false"/>
    </xf>
    <xf numFmtId="167" fontId="21" fillId="5" borderId="1" xfId="0" applyFont="true" applyBorder="true" applyAlignment="true" applyProtection="false">
      <alignment horizontal="center" vertical="center" textRotation="0" wrapText="false" indent="0" shrinkToFit="false"/>
      <protection locked="true" hidden="false"/>
    </xf>
    <xf numFmtId="167" fontId="21" fillId="6" borderId="1" xfId="0" applyFont="true" applyBorder="true" applyAlignment="true" applyProtection="false">
      <alignment horizontal="center" vertical="center" textRotation="0" wrapText="false" indent="0" shrinkToFit="false"/>
      <protection locked="true" hidden="false"/>
    </xf>
    <xf numFmtId="167" fontId="28" fillId="5" borderId="1" xfId="0" applyFont="true" applyBorder="true" applyAlignment="true" applyProtection="false">
      <alignment horizontal="center" vertical="center" textRotation="0" wrapText="false" indent="0"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B0000"/>
      <rgbColor rgb="FF006400"/>
      <rgbColor rgb="FF000080"/>
      <rgbColor rgb="FF808000"/>
      <rgbColor rgb="FF6A1B9A"/>
      <rgbColor rgb="FF1F6B3A"/>
      <rgbColor rgb="FFB0B8C8"/>
      <rgbColor rgb="FF808080"/>
      <rgbColor rgb="FF9999FF"/>
      <rgbColor rgb="FF993366"/>
      <rgbColor rgb="FFF2F7FB"/>
      <rgbColor rgb="FFE8F4FD"/>
      <rgbColor rgb="FF660066"/>
      <rgbColor rgb="FFFF8080"/>
      <rgbColor rgb="FF1565C0"/>
      <rgbColor rgb="FFD6E4F0"/>
      <rgbColor rgb="FF000080"/>
      <rgbColor rgb="FFFF00FF"/>
      <rgbColor rgb="FFFFFF00"/>
      <rgbColor rgb="FF00FFFF"/>
      <rgbColor rgb="FF800080"/>
      <rgbColor rgb="FF800000"/>
      <rgbColor rgb="FF008080"/>
      <rgbColor rgb="FF0000FF"/>
      <rgbColor rgb="FF00CCFF"/>
      <rgbColor rgb="FFEDE8F7"/>
      <rgbColor rgb="FFD4EDDA"/>
      <rgbColor rgb="FFFFFF99"/>
      <rgbColor rgb="FF99CCFF"/>
      <rgbColor rgb="FFFF99CC"/>
      <rgbColor rgb="FFCC99FF"/>
      <rgbColor rgb="FFFFDADA"/>
      <rgbColor rgb="FF3366FF"/>
      <rgbColor rgb="FF33CCCC"/>
      <rgbColor rgb="FF99CC00"/>
      <rgbColor rgb="FFFFCC00"/>
      <rgbColor rgb="FFFF9900"/>
      <rgbColor rgb="FFFF6600"/>
      <rgbColor rgb="FF595959"/>
      <rgbColor rgb="FFC9A84C"/>
      <rgbColor rgb="FF17375E"/>
      <rgbColor rgb="FF339966"/>
      <rgbColor rgb="FF003300"/>
      <rgbColor rgb="FF333300"/>
      <rgbColor rgb="FF8B1A1A"/>
      <rgbColor rgb="FF993366"/>
      <rgbColor rgb="FF333399"/>
      <rgbColor rgb="FF1F386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0"/>
    <col collapsed="false" customWidth="true" hidden="false" outlineLevel="0" max="8" min="2" style="1" width="15"/>
  </cols>
  <sheetData>
    <row r="1" customFormat="false" ht="37.5" hidden="false" customHeight="true" outlineLevel="0" collapsed="false">
      <c r="A1" s="2" t="s">
        <v>0</v>
      </c>
      <c r="B1" s="2"/>
      <c r="C1" s="2"/>
      <c r="D1" s="2"/>
      <c r="E1" s="2"/>
      <c r="F1" s="2"/>
      <c r="G1" s="2"/>
      <c r="H1" s="2"/>
    </row>
    <row r="2" customFormat="false" ht="18" hidden="false" customHeight="true" outlineLevel="0" collapsed="false">
      <c r="A2" s="3" t="s">
        <v>1</v>
      </c>
      <c r="B2" s="3"/>
      <c r="C2" s="3"/>
      <c r="D2" s="3"/>
      <c r="E2" s="3"/>
      <c r="F2" s="3"/>
      <c r="G2" s="3"/>
      <c r="H2" s="3"/>
    </row>
    <row r="4" customFormat="false" ht="18" hidden="false" customHeight="true" outlineLevel="0" collapsed="false">
      <c r="A4" s="4" t="s">
        <v>2</v>
      </c>
      <c r="B4" s="4"/>
      <c r="C4" s="4"/>
      <c r="D4" s="4"/>
      <c r="E4" s="4"/>
      <c r="F4" s="4"/>
      <c r="G4" s="4"/>
      <c r="H4" s="4"/>
    </row>
    <row r="5" customFormat="false" ht="27.75" hidden="false" customHeight="true" outlineLevel="0" collapsed="false">
      <c r="A5" s="5" t="s">
        <v>3</v>
      </c>
      <c r="B5" s="6" t="s">
        <v>4</v>
      </c>
      <c r="C5" s="6" t="s">
        <v>5</v>
      </c>
      <c r="D5" s="6" t="s">
        <v>6</v>
      </c>
      <c r="E5" s="6" t="s">
        <v>7</v>
      </c>
      <c r="F5" s="5" t="s">
        <v>8</v>
      </c>
      <c r="G5" s="5"/>
      <c r="H5" s="5"/>
    </row>
    <row r="6" customFormat="false" ht="15.75" hidden="false" customHeight="true" outlineLevel="0" collapsed="false">
      <c r="A6" s="7" t="s">
        <v>9</v>
      </c>
      <c r="B6" s="8" t="n">
        <f aca="false">Cloud_TCO!G39</f>
        <v>1280413.765835</v>
      </c>
      <c r="C6" s="9" t="n">
        <f aca="false">OnPrem_TCO!G42</f>
        <v>1846475.001525</v>
      </c>
      <c r="D6" s="10" t="n">
        <f aca="false">B6-C6</f>
        <v>-566061.23569</v>
      </c>
      <c r="E6" s="11" t="str">
        <f aca="false">IF(B6&lt;C6,"Cloud","On-Premise")</f>
        <v>Cloud</v>
      </c>
      <c r="F6" s="12" t="s">
        <v>10</v>
      </c>
      <c r="G6" s="12"/>
      <c r="H6" s="12"/>
    </row>
    <row r="7" customFormat="false" ht="15.75" hidden="false" customHeight="true" outlineLevel="0" collapsed="false">
      <c r="A7" s="13" t="s">
        <v>11</v>
      </c>
      <c r="B7" s="14" t="n">
        <f aca="false">Cloud_TCO!G41</f>
        <v>1002961.05537066</v>
      </c>
      <c r="C7" s="15" t="n">
        <f aca="false">OnPrem_TCO!G44</f>
        <v>1470969.4418383</v>
      </c>
      <c r="D7" s="16" t="n">
        <f aca="false">B7-C7</f>
        <v>-468008.386467641</v>
      </c>
      <c r="E7" s="17" t="str">
        <f aca="false">IF(B7&lt;C7,"Cloud","On-Premise")</f>
        <v>Cloud</v>
      </c>
      <c r="F7" s="18" t="s">
        <v>12</v>
      </c>
      <c r="G7" s="18"/>
      <c r="H7" s="18"/>
    </row>
    <row r="8" customFormat="false" ht="15.75" hidden="false" customHeight="true" outlineLevel="0" collapsed="false">
      <c r="A8" s="7" t="s">
        <v>13</v>
      </c>
      <c r="B8" s="8" t="n">
        <f aca="false">Cloud_TCO!G39/(Assumptions!B6*5)</f>
        <v>3414.43670889333</v>
      </c>
      <c r="C8" s="9" t="n">
        <f aca="false">OnPrem_TCO!G42/(Assumptions!C6*5)</f>
        <v>4923.9333374</v>
      </c>
      <c r="D8" s="10" t="n">
        <f aca="false">B8-C8</f>
        <v>-1509.49662850667</v>
      </c>
      <c r="E8" s="11" t="str">
        <f aca="false">IF(B8&lt;C8,"Cloud","On-Premise")</f>
        <v>Cloud</v>
      </c>
      <c r="F8" s="12" t="s">
        <v>14</v>
      </c>
      <c r="G8" s="12"/>
      <c r="H8" s="12"/>
    </row>
    <row r="9" customFormat="false" ht="15.75" hidden="false" customHeight="true" outlineLevel="0" collapsed="false">
      <c r="A9" s="13" t="s">
        <v>15</v>
      </c>
      <c r="B9" s="14" t="n">
        <f aca="false">Benefits_ROI!G13</f>
        <v>444062.47</v>
      </c>
      <c r="C9" s="15" t="n">
        <f aca="false">Benefits_ROI!G13</f>
        <v>444062.47</v>
      </c>
      <c r="D9" s="16" t="n">
        <f aca="false">0</f>
        <v>0</v>
      </c>
      <c r="E9" s="17" t="s">
        <v>16</v>
      </c>
      <c r="F9" s="18" t="s">
        <v>17</v>
      </c>
      <c r="G9" s="18"/>
      <c r="H9" s="18"/>
    </row>
    <row r="10" customFormat="false" ht="15.75" hidden="false" customHeight="true" outlineLevel="0" collapsed="false">
      <c r="A10" s="7" t="s">
        <v>18</v>
      </c>
      <c r="B10" s="8" t="n">
        <f aca="false">Benefits_ROI!H13-Cloud_TCO!G41</f>
        <v>-691972.380975592</v>
      </c>
      <c r="C10" s="9" t="n">
        <f aca="false">Benefits_ROI!H13-OnPrem_TCO!G44</f>
        <v>-1159980.76744323</v>
      </c>
      <c r="D10" s="10" t="n">
        <f aca="false">B10-C10</f>
        <v>468008.386467641</v>
      </c>
      <c r="E10" s="11" t="str">
        <f aca="false">IF(B10&gt;C10,"Cloud","On-Premise")</f>
        <v>Cloud</v>
      </c>
      <c r="F10" s="12" t="s">
        <v>19</v>
      </c>
      <c r="G10" s="12"/>
      <c r="H10" s="12"/>
    </row>
    <row r="11" customFormat="false" ht="15.75" hidden="false" customHeight="true" outlineLevel="0" collapsed="false">
      <c r="A11" s="13" t="s">
        <v>20</v>
      </c>
      <c r="B11" s="19" t="n">
        <f aca="false">IFERROR(Benefits_ROI!G13/Cloud_TCO!G39,0)</f>
        <v>0.346811696225721</v>
      </c>
      <c r="C11" s="20" t="n">
        <f aca="false">IFERROR(Benefits_ROI!G13/OnPrem_TCO!G42,0)</f>
        <v>0.24049200213014</v>
      </c>
      <c r="D11" s="21" t="n">
        <f aca="false">B11-C11</f>
        <v>0.106319694095582</v>
      </c>
      <c r="E11" s="17" t="str">
        <f aca="false">IF(B11&gt;C11,"Cloud","On-Premise")</f>
        <v>Cloud</v>
      </c>
      <c r="F11" s="18" t="s">
        <v>21</v>
      </c>
      <c r="G11" s="18"/>
      <c r="H11" s="18"/>
    </row>
    <row r="12" customFormat="false" ht="15.75" hidden="false" customHeight="true" outlineLevel="0" collapsed="false">
      <c r="A12" s="7" t="s">
        <v>22</v>
      </c>
      <c r="B12" s="22" t="n">
        <f aca="false">IFERROR(Cloud_TCO!G41/(Benefits_ROI!H13/5),"n/a")</f>
        <v>16.1253630429084</v>
      </c>
      <c r="C12" s="23" t="n">
        <f aca="false">IFERROR(OnPrem_TCO!G44/(Benefits_ROI!H13/5),"n/a")</f>
        <v>23.6498876478318</v>
      </c>
      <c r="D12" s="24" t="n">
        <f aca="false">IFERROR(B12-C12,0)</f>
        <v>-7.52452460492343</v>
      </c>
      <c r="E12" s="11" t="str">
        <f aca="false">IF(ISNUMBER(B12),IF(B12&lt;C12,"Cloud","On-Premise"),"Check")</f>
        <v>Cloud</v>
      </c>
      <c r="F12" s="12" t="s">
        <v>23</v>
      </c>
      <c r="G12" s="12"/>
      <c r="H12" s="12"/>
    </row>
    <row r="14" customFormat="false" ht="18" hidden="false" customHeight="true" outlineLevel="0" collapsed="false">
      <c r="A14" s="4" t="s">
        <v>24</v>
      </c>
      <c r="B14" s="4"/>
      <c r="C14" s="4"/>
      <c r="D14" s="4"/>
      <c r="E14" s="4"/>
      <c r="F14" s="4"/>
      <c r="G14" s="4"/>
      <c r="H14" s="4"/>
    </row>
    <row r="15" customFormat="false" ht="27.75" hidden="false" customHeight="true" outlineLevel="0" collapsed="false">
      <c r="A15" s="6" t="s">
        <v>25</v>
      </c>
    </row>
    <row r="16" customFormat="false" ht="27.75" hidden="false" customHeight="true" outlineLevel="0" collapsed="false">
      <c r="B16" s="6" t="s">
        <v>26</v>
      </c>
    </row>
    <row r="17" customFormat="false" ht="27.75" hidden="false" customHeight="true" outlineLevel="0" collapsed="false">
      <c r="C17" s="6" t="s">
        <v>27</v>
      </c>
    </row>
    <row r="18" customFormat="false" ht="27.75" hidden="false" customHeight="true" outlineLevel="0" collapsed="false">
      <c r="D18" s="6" t="s">
        <v>28</v>
      </c>
    </row>
    <row r="19" customFormat="false" ht="27.75" hidden="false" customHeight="true" outlineLevel="0" collapsed="false">
      <c r="E19" s="6" t="s">
        <v>29</v>
      </c>
    </row>
    <row r="20" customFormat="false" ht="27.75" hidden="false" customHeight="true" outlineLevel="0" collapsed="false">
      <c r="F20" s="6" t="s">
        <v>30</v>
      </c>
    </row>
    <row r="21" customFormat="false" ht="27.75" hidden="false" customHeight="true" outlineLevel="0" collapsed="false">
      <c r="G21" s="6" t="s">
        <v>31</v>
      </c>
    </row>
    <row r="22" customFormat="false" ht="27.75" hidden="false" customHeight="true" outlineLevel="0" collapsed="false">
      <c r="H22" s="6" t="s">
        <v>32</v>
      </c>
    </row>
    <row r="23" customFormat="false" ht="16.5" hidden="false" customHeight="true" outlineLevel="0" collapsed="false">
      <c r="A23" s="25" t="s">
        <v>33</v>
      </c>
      <c r="B23" s="26" t="n">
        <f aca="false">Cloud_TCO!B39</f>
        <v>429875</v>
      </c>
      <c r="C23" s="26" t="n">
        <f aca="false">Cloud_TCO!C39</f>
        <v>210105</v>
      </c>
      <c r="D23" s="26" t="n">
        <f aca="false">Cloud_TCO!D39</f>
        <v>211758.15</v>
      </c>
      <c r="E23" s="26" t="n">
        <f aca="false">Cloud_TCO!E39</f>
        <v>213460.8945</v>
      </c>
      <c r="F23" s="26" t="n">
        <f aca="false">Cloud_TCO!F39</f>
        <v>215214.721335</v>
      </c>
      <c r="G23" s="27" t="n">
        <f aca="false">Cloud_TCO!G39</f>
        <v>1280413.765835</v>
      </c>
      <c r="H23" s="27" t="n">
        <f aca="false">Cloud_TCO!G41</f>
        <v>1002961.05537066</v>
      </c>
    </row>
    <row r="24" customFormat="false" ht="16.5" hidden="false" customHeight="true" outlineLevel="0" collapsed="false">
      <c r="A24" s="28" t="s">
        <v>34</v>
      </c>
      <c r="B24" s="29" t="n">
        <f aca="false">OnPrem_TCO!B42</f>
        <v>690500</v>
      </c>
      <c r="C24" s="29" t="n">
        <f aca="false">OnPrem_TCO!C42</f>
        <v>368950</v>
      </c>
      <c r="D24" s="29" t="n">
        <f aca="false">OnPrem_TCO!D42</f>
        <v>255832.25</v>
      </c>
      <c r="E24" s="29" t="n">
        <f aca="false">OnPrem_TCO!E42</f>
        <v>262277.2175</v>
      </c>
      <c r="F24" s="29" t="n">
        <f aca="false">OnPrem_TCO!F42</f>
        <v>268915.534025</v>
      </c>
      <c r="G24" s="30" t="n">
        <f aca="false">OnPrem_TCO!G42</f>
        <v>1846475.001525</v>
      </c>
      <c r="H24" s="30" t="n">
        <f aca="false">OnPrem_TCO!G44</f>
        <v>1470969.4418383</v>
      </c>
    </row>
    <row r="25" customFormat="false" ht="16.5" hidden="false" customHeight="true" outlineLevel="0" collapsed="false">
      <c r="A25" s="31" t="s">
        <v>35</v>
      </c>
      <c r="B25" s="32" t="n">
        <f aca="false">B23-B24</f>
        <v>-260625</v>
      </c>
      <c r="C25" s="32" t="n">
        <f aca="false">C23-C24</f>
        <v>-158845</v>
      </c>
      <c r="D25" s="32" t="n">
        <f aca="false">D23-D24</f>
        <v>-44074.1</v>
      </c>
      <c r="E25" s="32" t="n">
        <f aca="false">E23-E24</f>
        <v>-48816.323</v>
      </c>
      <c r="F25" s="32" t="n">
        <f aca="false">F23-F24</f>
        <v>-53700.81269</v>
      </c>
      <c r="G25" s="32" t="n">
        <f aca="false">G23-G24</f>
        <v>-566061.23569</v>
      </c>
      <c r="H25" s="32" t="n">
        <f aca="false">H23-H24</f>
        <v>-468008.386467641</v>
      </c>
    </row>
    <row r="27" customFormat="false" ht="18" hidden="false" customHeight="true" outlineLevel="0" collapsed="false">
      <c r="A27" s="33" t="s">
        <v>36</v>
      </c>
      <c r="B27" s="33"/>
      <c r="C27" s="33"/>
      <c r="D27" s="33"/>
      <c r="E27" s="33"/>
      <c r="F27" s="33"/>
      <c r="G27" s="33"/>
      <c r="H27" s="33"/>
    </row>
    <row r="28" customFormat="false" ht="13.5" hidden="false" customHeight="true" outlineLevel="0" collapsed="false">
      <c r="A28" s="34" t="s">
        <v>37</v>
      </c>
      <c r="B28" s="34"/>
      <c r="C28" s="34"/>
      <c r="D28" s="34"/>
      <c r="E28" s="34"/>
      <c r="F28" s="34"/>
      <c r="G28" s="34"/>
      <c r="H28" s="34"/>
    </row>
    <row r="29" customFormat="false" ht="31.5" hidden="false" customHeight="true" outlineLevel="0" collapsed="false">
      <c r="A29" s="35" t="s">
        <v>4</v>
      </c>
      <c r="B29" s="36" t="s">
        <v>38</v>
      </c>
      <c r="C29" s="36"/>
      <c r="E29" s="37" t="s">
        <v>39</v>
      </c>
      <c r="F29" s="36" t="s">
        <v>40</v>
      </c>
      <c r="G29" s="36"/>
    </row>
    <row r="30" customFormat="false" ht="13.5" hidden="false" customHeight="true" outlineLevel="0" collapsed="false">
      <c r="A30" s="34" t="s">
        <v>41</v>
      </c>
      <c r="B30" s="34"/>
      <c r="C30" s="34"/>
      <c r="D30" s="34"/>
      <c r="E30" s="34"/>
      <c r="F30" s="34"/>
      <c r="G30" s="34"/>
      <c r="H30" s="34"/>
    </row>
    <row r="31" customFormat="false" ht="31.5" hidden="false" customHeight="true" outlineLevel="0" collapsed="false">
      <c r="A31" s="35" t="s">
        <v>4</v>
      </c>
      <c r="B31" s="38" t="s">
        <v>42</v>
      </c>
      <c r="C31" s="38"/>
      <c r="E31" s="37" t="s">
        <v>39</v>
      </c>
      <c r="F31" s="38" t="s">
        <v>43</v>
      </c>
      <c r="G31" s="38"/>
    </row>
    <row r="32" customFormat="false" ht="13.5" hidden="false" customHeight="true" outlineLevel="0" collapsed="false">
      <c r="A32" s="34" t="s">
        <v>44</v>
      </c>
      <c r="B32" s="34"/>
      <c r="C32" s="34"/>
      <c r="D32" s="34"/>
      <c r="E32" s="34"/>
      <c r="F32" s="34"/>
      <c r="G32" s="34"/>
      <c r="H32" s="34"/>
    </row>
    <row r="33" customFormat="false" ht="31.5" hidden="false" customHeight="true" outlineLevel="0" collapsed="false">
      <c r="A33" s="35" t="s">
        <v>4</v>
      </c>
      <c r="B33" s="36" t="s">
        <v>45</v>
      </c>
      <c r="C33" s="36"/>
      <c r="E33" s="37" t="s">
        <v>39</v>
      </c>
      <c r="F33" s="36" t="s">
        <v>46</v>
      </c>
      <c r="G33" s="36"/>
    </row>
    <row r="34" customFormat="false" ht="13.5" hidden="false" customHeight="true" outlineLevel="0" collapsed="false">
      <c r="A34" s="34" t="s">
        <v>47</v>
      </c>
      <c r="B34" s="34"/>
      <c r="C34" s="34"/>
      <c r="D34" s="34"/>
      <c r="E34" s="34"/>
      <c r="F34" s="34"/>
      <c r="G34" s="34"/>
      <c r="H34" s="34"/>
    </row>
    <row r="35" customFormat="false" ht="31.5" hidden="false" customHeight="true" outlineLevel="0" collapsed="false">
      <c r="A35" s="37" t="s">
        <v>48</v>
      </c>
      <c r="B35" s="38" t="s">
        <v>49</v>
      </c>
      <c r="C35" s="38"/>
      <c r="E35" s="37" t="s">
        <v>48</v>
      </c>
      <c r="F35" s="38" t="s">
        <v>50</v>
      </c>
      <c r="G35" s="38"/>
    </row>
    <row r="36" customFormat="false" ht="18" hidden="false" customHeight="true" outlineLevel="0" collapsed="false">
      <c r="A36" s="39" t="s">
        <v>51</v>
      </c>
      <c r="B36" s="39"/>
      <c r="C36" s="39"/>
      <c r="D36" s="39"/>
      <c r="E36" s="39"/>
      <c r="F36" s="39"/>
      <c r="G36" s="39"/>
      <c r="H36" s="39"/>
    </row>
    <row r="37" customFormat="false" ht="24" hidden="false" customHeight="true" outlineLevel="0" collapsed="false">
      <c r="A37" s="40" t="str">
        <f aca="false">IF(Cloud_TCO!G41&lt;OnPrem_TCO!G44,"RECOMMENDATION: Cloud ERP has lower NPV TCO. Cloud wins on financial basis. Validate with vendor scorecard.","RECOMMENDATION: On-Premise ERP has lower NPV TCO. On-Prem wins on financial basis. Factor in operational risk premium.")</f>
        <v>RECOMMENDATION: Cloud ERP has lower NPV TCO. Cloud wins on financial basis. Validate with vendor scorecard.</v>
      </c>
      <c r="B37" s="40"/>
      <c r="C37" s="40"/>
      <c r="D37" s="40"/>
      <c r="E37" s="40"/>
      <c r="F37" s="40"/>
      <c r="G37" s="40"/>
      <c r="H37" s="40"/>
    </row>
    <row r="39" customFormat="false" ht="18" hidden="false" customHeight="true" outlineLevel="0" collapsed="false">
      <c r="A39" s="4" t="s">
        <v>52</v>
      </c>
      <c r="B39" s="4"/>
      <c r="C39" s="4"/>
      <c r="D39" s="4"/>
      <c r="E39" s="4"/>
      <c r="F39" s="4"/>
      <c r="G39" s="4"/>
      <c r="H39" s="4"/>
    </row>
    <row r="40" customFormat="false" ht="15.75" hidden="false" customHeight="true" outlineLevel="0" collapsed="false">
      <c r="A40" s="41" t="s">
        <v>53</v>
      </c>
      <c r="B40" s="41"/>
      <c r="C40" s="42" t="s">
        <v>54</v>
      </c>
      <c r="D40" s="42"/>
      <c r="E40" s="42"/>
      <c r="F40" s="42"/>
      <c r="G40" s="42"/>
      <c r="H40" s="42"/>
    </row>
    <row r="41" customFormat="false" ht="15.75" hidden="false" customHeight="true" outlineLevel="0" collapsed="false">
      <c r="A41" s="43" t="s">
        <v>55</v>
      </c>
      <c r="B41" s="43"/>
      <c r="C41" s="44" t="s">
        <v>56</v>
      </c>
      <c r="D41" s="44"/>
      <c r="E41" s="44"/>
      <c r="F41" s="44"/>
      <c r="G41" s="44"/>
      <c r="H41" s="44"/>
    </row>
    <row r="42" customFormat="false" ht="15.75" hidden="false" customHeight="true" outlineLevel="0" collapsed="false">
      <c r="A42" s="41" t="s">
        <v>57</v>
      </c>
      <c r="B42" s="41"/>
      <c r="C42" s="42" t="s">
        <v>58</v>
      </c>
      <c r="D42" s="42"/>
      <c r="E42" s="42"/>
      <c r="F42" s="42"/>
      <c r="G42" s="42"/>
      <c r="H42" s="42"/>
    </row>
    <row r="43" customFormat="false" ht="15.75" hidden="false" customHeight="true" outlineLevel="0" collapsed="false">
      <c r="A43" s="43" t="s">
        <v>59</v>
      </c>
      <c r="B43" s="43"/>
      <c r="C43" s="44" t="s">
        <v>60</v>
      </c>
      <c r="D43" s="44"/>
      <c r="E43" s="44"/>
      <c r="F43" s="44"/>
      <c r="G43" s="44"/>
      <c r="H43" s="44"/>
    </row>
    <row r="44" customFormat="false" ht="15.75" hidden="false" customHeight="true" outlineLevel="0" collapsed="false">
      <c r="A44" s="41" t="s">
        <v>61</v>
      </c>
      <c r="B44" s="41"/>
      <c r="C44" s="42" t="s">
        <v>62</v>
      </c>
      <c r="D44" s="42"/>
      <c r="E44" s="42"/>
      <c r="F44" s="42"/>
      <c r="G44" s="42"/>
      <c r="H44" s="42"/>
    </row>
    <row r="45" customFormat="false" ht="15.75" hidden="false" customHeight="true" outlineLevel="0" collapsed="false">
      <c r="A45" s="43" t="s">
        <v>63</v>
      </c>
      <c r="B45" s="43"/>
      <c r="C45" s="44" t="s">
        <v>64</v>
      </c>
      <c r="D45" s="44"/>
      <c r="E45" s="44"/>
      <c r="F45" s="44"/>
      <c r="G45" s="44"/>
      <c r="H45" s="44"/>
    </row>
    <row r="46" customFormat="false" ht="15.75" hidden="false" customHeight="true" outlineLevel="0" collapsed="false">
      <c r="A46" s="41" t="s">
        <v>65</v>
      </c>
      <c r="B46" s="41"/>
      <c r="C46" s="42" t="s">
        <v>66</v>
      </c>
      <c r="D46" s="42"/>
      <c r="E46" s="42"/>
      <c r="F46" s="42"/>
      <c r="G46" s="42"/>
      <c r="H46" s="42"/>
    </row>
  </sheetData>
  <mergeCells count="42">
    <mergeCell ref="A1:H1"/>
    <mergeCell ref="A2:H2"/>
    <mergeCell ref="A4:H4"/>
    <mergeCell ref="F5:H5"/>
    <mergeCell ref="F6:H6"/>
    <mergeCell ref="F7:H7"/>
    <mergeCell ref="F8:H8"/>
    <mergeCell ref="F9:H9"/>
    <mergeCell ref="F10:H10"/>
    <mergeCell ref="F11:H11"/>
    <mergeCell ref="F12:H12"/>
    <mergeCell ref="A14:H14"/>
    <mergeCell ref="A27:H27"/>
    <mergeCell ref="A28:H28"/>
    <mergeCell ref="B29:C29"/>
    <mergeCell ref="F29:G29"/>
    <mergeCell ref="A30:H30"/>
    <mergeCell ref="B31:C31"/>
    <mergeCell ref="F31:G31"/>
    <mergeCell ref="A32:H32"/>
    <mergeCell ref="B33:C33"/>
    <mergeCell ref="F33:G33"/>
    <mergeCell ref="A34:H34"/>
    <mergeCell ref="B35:C35"/>
    <mergeCell ref="F35:G35"/>
    <mergeCell ref="A36:H36"/>
    <mergeCell ref="A37:H37"/>
    <mergeCell ref="A39:H39"/>
    <mergeCell ref="A40:B40"/>
    <mergeCell ref="C40:H40"/>
    <mergeCell ref="A41:B41"/>
    <mergeCell ref="C41:H41"/>
    <mergeCell ref="A42:B42"/>
    <mergeCell ref="C42:H42"/>
    <mergeCell ref="A43:B43"/>
    <mergeCell ref="C43:H43"/>
    <mergeCell ref="A44:B44"/>
    <mergeCell ref="C44:H44"/>
    <mergeCell ref="A45:B45"/>
    <mergeCell ref="C45:H45"/>
    <mergeCell ref="A46:B46"/>
    <mergeCell ref="C46:H4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6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8"/>
    <col collapsed="false" customWidth="true" hidden="false" outlineLevel="0" max="3" min="2" style="1" width="18"/>
    <col collapsed="false" customWidth="true" hidden="false" outlineLevel="0" max="4" min="4" style="1" width="30"/>
  </cols>
  <sheetData>
    <row r="1" customFormat="false" ht="31.5" hidden="false" customHeight="true" outlineLevel="0" collapsed="false">
      <c r="A1" s="45" t="s">
        <v>67</v>
      </c>
      <c r="B1" s="45"/>
      <c r="C1" s="45"/>
      <c r="D1" s="45"/>
    </row>
    <row r="2" customFormat="false" ht="15" hidden="false" customHeight="true" outlineLevel="0" collapsed="false">
      <c r="A2" s="46" t="s">
        <v>68</v>
      </c>
      <c r="B2" s="46"/>
      <c r="C2" s="46"/>
      <c r="D2" s="46"/>
    </row>
    <row r="4" customFormat="false" ht="18" hidden="false" customHeight="true" outlineLevel="0" collapsed="false">
      <c r="A4" s="4" t="s">
        <v>69</v>
      </c>
      <c r="B4" s="4"/>
      <c r="C4" s="4"/>
      <c r="D4" s="4"/>
    </row>
    <row r="5" customFormat="false" ht="27.75" hidden="false" customHeight="true" outlineLevel="0" collapsed="false">
      <c r="A5" s="5" t="s">
        <v>70</v>
      </c>
      <c r="B5" s="47" t="s">
        <v>4</v>
      </c>
      <c r="C5" s="48" t="s">
        <v>5</v>
      </c>
      <c r="D5" s="5" t="s">
        <v>8</v>
      </c>
    </row>
    <row r="6" customFormat="false" ht="15.75" hidden="false" customHeight="true" outlineLevel="0" collapsed="false">
      <c r="A6" s="49" t="s">
        <v>71</v>
      </c>
      <c r="B6" s="50" t="n">
        <v>75</v>
      </c>
      <c r="C6" s="50" t="n">
        <v>75</v>
      </c>
      <c r="D6" s="51" t="s">
        <v>72</v>
      </c>
    </row>
    <row r="7" customFormat="false" ht="15.75" hidden="false" customHeight="true" outlineLevel="0" collapsed="false">
      <c r="A7" s="52" t="s">
        <v>73</v>
      </c>
      <c r="B7" s="53" t="n">
        <v>25000000</v>
      </c>
      <c r="C7" s="53" t="n">
        <v>25000000</v>
      </c>
      <c r="D7" s="51" t="s">
        <v>74</v>
      </c>
    </row>
    <row r="8" customFormat="false" ht="15.75" hidden="false" customHeight="true" outlineLevel="0" collapsed="false">
      <c r="A8" s="49" t="s">
        <v>75</v>
      </c>
      <c r="B8" s="54" t="n">
        <v>1</v>
      </c>
      <c r="C8" s="54" t="n">
        <v>1</v>
      </c>
      <c r="D8" s="51" t="s">
        <v>76</v>
      </c>
    </row>
    <row r="9" customFormat="false" ht="15.75" hidden="false" customHeight="true" outlineLevel="0" collapsed="false">
      <c r="A9" s="52" t="s">
        <v>77</v>
      </c>
      <c r="B9" s="55" t="n">
        <v>0.1</v>
      </c>
      <c r="C9" s="55" t="n">
        <v>0.1</v>
      </c>
      <c r="D9" s="51" t="s">
        <v>78</v>
      </c>
    </row>
    <row r="10" customFormat="false" ht="15.75" hidden="false" customHeight="true" outlineLevel="0" collapsed="false">
      <c r="A10" s="49" t="s">
        <v>79</v>
      </c>
      <c r="B10" s="55" t="n">
        <v>0.03</v>
      </c>
      <c r="C10" s="55" t="n">
        <v>0.03</v>
      </c>
      <c r="D10" s="51" t="s">
        <v>80</v>
      </c>
    </row>
    <row r="11" customFormat="false" ht="15.75" hidden="false" customHeight="true" outlineLevel="0" collapsed="false">
      <c r="A11" s="52" t="s">
        <v>81</v>
      </c>
      <c r="B11" s="54" t="s">
        <v>82</v>
      </c>
      <c r="C11" s="54" t="s">
        <v>82</v>
      </c>
      <c r="D11" s="51" t="s">
        <v>83</v>
      </c>
    </row>
    <row r="13" customFormat="false" ht="18" hidden="false" customHeight="true" outlineLevel="0" collapsed="false">
      <c r="A13" s="56" t="s">
        <v>84</v>
      </c>
      <c r="B13" s="56"/>
      <c r="C13" s="56"/>
      <c r="D13" s="56"/>
    </row>
    <row r="14" customFormat="false" ht="27.75" hidden="false" customHeight="true" outlineLevel="0" collapsed="false">
      <c r="A14" s="5" t="s">
        <v>70</v>
      </c>
      <c r="B14" s="47" t="s">
        <v>4</v>
      </c>
      <c r="C14" s="48" t="s">
        <v>5</v>
      </c>
      <c r="D14" s="5" t="s">
        <v>8</v>
      </c>
    </row>
    <row r="15" customFormat="false" ht="15.75" hidden="false" customHeight="true" outlineLevel="0" collapsed="false">
      <c r="A15" s="49" t="s">
        <v>85</v>
      </c>
      <c r="B15" s="53" t="n">
        <v>1800</v>
      </c>
      <c r="C15" s="53" t="n">
        <v>0</v>
      </c>
      <c r="D15" s="51" t="s">
        <v>86</v>
      </c>
    </row>
    <row r="16" customFormat="false" ht="15.75" hidden="false" customHeight="true" outlineLevel="0" collapsed="false">
      <c r="A16" s="52" t="s">
        <v>87</v>
      </c>
      <c r="B16" s="53" t="n">
        <v>0</v>
      </c>
      <c r="C16" s="53" t="n">
        <v>180000</v>
      </c>
      <c r="D16" s="51" t="s">
        <v>88</v>
      </c>
    </row>
    <row r="17" customFormat="false" ht="15.75" hidden="false" customHeight="true" outlineLevel="0" collapsed="false">
      <c r="A17" s="49" t="s">
        <v>89</v>
      </c>
      <c r="B17" s="53" t="n">
        <v>0</v>
      </c>
      <c r="C17" s="53" t="n">
        <v>0.2</v>
      </c>
      <c r="D17" s="51" t="s">
        <v>90</v>
      </c>
    </row>
    <row r="18" customFormat="false" ht="15.75" hidden="false" customHeight="true" outlineLevel="0" collapsed="false">
      <c r="A18" s="52" t="s">
        <v>91</v>
      </c>
      <c r="B18" s="55" t="n">
        <v>0.05</v>
      </c>
      <c r="C18" s="55" t="n">
        <v>0.03</v>
      </c>
      <c r="D18" s="51" t="s">
        <v>92</v>
      </c>
    </row>
    <row r="20" customFormat="false" ht="18" hidden="false" customHeight="true" outlineLevel="0" collapsed="false">
      <c r="A20" s="56" t="s">
        <v>93</v>
      </c>
      <c r="B20" s="56"/>
      <c r="C20" s="56"/>
      <c r="D20" s="56"/>
    </row>
    <row r="21" customFormat="false" ht="27.75" hidden="false" customHeight="true" outlineLevel="0" collapsed="false">
      <c r="A21" s="5" t="s">
        <v>70</v>
      </c>
      <c r="B21" s="47" t="s">
        <v>4</v>
      </c>
      <c r="C21" s="48" t="s">
        <v>5</v>
      </c>
      <c r="D21" s="5" t="s">
        <v>8</v>
      </c>
    </row>
    <row r="22" customFormat="false" ht="15.75" hidden="false" customHeight="true" outlineLevel="0" collapsed="false">
      <c r="A22" s="49" t="s">
        <v>94</v>
      </c>
      <c r="B22" s="53" t="n">
        <v>80000</v>
      </c>
      <c r="C22" s="53" t="n">
        <v>120000</v>
      </c>
      <c r="D22" s="51" t="s">
        <v>95</v>
      </c>
    </row>
    <row r="23" customFormat="false" ht="15.75" hidden="false" customHeight="true" outlineLevel="0" collapsed="false">
      <c r="A23" s="52" t="s">
        <v>96</v>
      </c>
      <c r="B23" s="55" t="n">
        <v>0.15</v>
      </c>
      <c r="C23" s="55" t="n">
        <v>0.25</v>
      </c>
      <c r="D23" s="51" t="s">
        <v>97</v>
      </c>
    </row>
    <row r="24" customFormat="false" ht="15.75" hidden="false" customHeight="true" outlineLevel="0" collapsed="false">
      <c r="A24" s="49" t="s">
        <v>98</v>
      </c>
      <c r="B24" s="54" t="s">
        <v>99</v>
      </c>
      <c r="C24" s="54" t="s">
        <v>100</v>
      </c>
      <c r="D24" s="51" t="s">
        <v>101</v>
      </c>
    </row>
    <row r="25" customFormat="false" ht="15.75" hidden="false" customHeight="true" outlineLevel="0" collapsed="false">
      <c r="A25" s="52" t="s">
        <v>102</v>
      </c>
      <c r="B25" s="55" t="n">
        <v>1</v>
      </c>
      <c r="C25" s="55" t="n">
        <v>0.6</v>
      </c>
      <c r="D25" s="51" t="s">
        <v>103</v>
      </c>
    </row>
    <row r="26" customFormat="false" ht="15.75" hidden="false" customHeight="true" outlineLevel="0" collapsed="false">
      <c r="A26" s="49" t="s">
        <v>104</v>
      </c>
      <c r="B26" s="55" t="n">
        <v>0</v>
      </c>
      <c r="C26" s="55" t="n">
        <v>0.4</v>
      </c>
      <c r="D26" s="51" t="s">
        <v>105</v>
      </c>
    </row>
    <row r="28" customFormat="false" ht="18" hidden="false" customHeight="true" outlineLevel="0" collapsed="false">
      <c r="A28" s="56" t="s">
        <v>106</v>
      </c>
      <c r="B28" s="56"/>
      <c r="C28" s="56"/>
      <c r="D28" s="56"/>
    </row>
    <row r="29" customFormat="false" ht="27.75" hidden="false" customHeight="true" outlineLevel="0" collapsed="false">
      <c r="A29" s="5" t="s">
        <v>70</v>
      </c>
      <c r="B29" s="47" t="s">
        <v>4</v>
      </c>
      <c r="C29" s="48" t="s">
        <v>5</v>
      </c>
      <c r="D29" s="5" t="s">
        <v>8</v>
      </c>
    </row>
    <row r="30" customFormat="false" ht="15.75" hidden="false" customHeight="true" outlineLevel="0" collapsed="false">
      <c r="A30" s="49" t="s">
        <v>107</v>
      </c>
      <c r="B30" s="57" t="n">
        <v>1.5</v>
      </c>
      <c r="C30" s="57" t="n">
        <v>2.5</v>
      </c>
      <c r="D30" s="51" t="s">
        <v>108</v>
      </c>
    </row>
    <row r="31" customFormat="false" ht="15.75" hidden="false" customHeight="true" outlineLevel="0" collapsed="false">
      <c r="A31" s="52" t="s">
        <v>109</v>
      </c>
      <c r="B31" s="53" t="n">
        <v>95000</v>
      </c>
      <c r="C31" s="53" t="n">
        <v>95000</v>
      </c>
      <c r="D31" s="51" t="s">
        <v>110</v>
      </c>
    </row>
    <row r="32" customFormat="false" ht="15.75" hidden="false" customHeight="true" outlineLevel="0" collapsed="false">
      <c r="A32" s="49" t="s">
        <v>111</v>
      </c>
      <c r="B32" s="57" t="n">
        <v>9</v>
      </c>
      <c r="C32" s="57" t="n">
        <v>15</v>
      </c>
      <c r="D32" s="51" t="s">
        <v>112</v>
      </c>
    </row>
    <row r="33" customFormat="false" ht="15.75" hidden="false" customHeight="true" outlineLevel="0" collapsed="false">
      <c r="A33" s="52" t="s">
        <v>113</v>
      </c>
      <c r="B33" s="57" t="n">
        <v>0.5</v>
      </c>
      <c r="C33" s="57" t="n">
        <v>1.5</v>
      </c>
      <c r="D33" s="51" t="s">
        <v>114</v>
      </c>
    </row>
    <row r="34" customFormat="false" ht="15.75" hidden="false" customHeight="true" outlineLevel="0" collapsed="false">
      <c r="A34" s="49" t="s">
        <v>115</v>
      </c>
      <c r="B34" s="55" t="n">
        <v>0.03</v>
      </c>
      <c r="C34" s="55" t="n">
        <v>0.03</v>
      </c>
      <c r="D34" s="51" t="s">
        <v>116</v>
      </c>
    </row>
    <row r="36" customFormat="false" ht="18" hidden="false" customHeight="true" outlineLevel="0" collapsed="false">
      <c r="A36" s="56" t="s">
        <v>117</v>
      </c>
      <c r="B36" s="56"/>
      <c r="C36" s="56"/>
      <c r="D36" s="56"/>
    </row>
    <row r="37" customFormat="false" ht="27.75" hidden="false" customHeight="true" outlineLevel="0" collapsed="false">
      <c r="A37" s="5" t="s">
        <v>70</v>
      </c>
      <c r="B37" s="47" t="s">
        <v>4</v>
      </c>
      <c r="C37" s="48" t="s">
        <v>5</v>
      </c>
      <c r="D37" s="5" t="s">
        <v>8</v>
      </c>
    </row>
    <row r="38" customFormat="false" ht="15.75" hidden="false" customHeight="true" outlineLevel="0" collapsed="false">
      <c r="A38" s="49" t="s">
        <v>118</v>
      </c>
      <c r="B38" s="53" t="n">
        <v>25000</v>
      </c>
      <c r="C38" s="53" t="n">
        <v>60000</v>
      </c>
      <c r="D38" s="51" t="s">
        <v>119</v>
      </c>
    </row>
    <row r="39" customFormat="false" ht="15.75" hidden="false" customHeight="true" outlineLevel="0" collapsed="false">
      <c r="A39" s="52" t="s">
        <v>120</v>
      </c>
      <c r="B39" s="53" t="n">
        <v>8000</v>
      </c>
      <c r="C39" s="53" t="n">
        <v>20000</v>
      </c>
      <c r="D39" s="51" t="s">
        <v>121</v>
      </c>
    </row>
    <row r="40" customFormat="false" ht="15.75" hidden="false" customHeight="true" outlineLevel="0" collapsed="false">
      <c r="A40" s="49" t="s">
        <v>122</v>
      </c>
      <c r="B40" s="53" t="n">
        <v>20000</v>
      </c>
      <c r="C40" s="53" t="n">
        <v>35000</v>
      </c>
      <c r="D40" s="51" t="s">
        <v>123</v>
      </c>
    </row>
    <row r="41" customFormat="false" ht="15.75" hidden="false" customHeight="true" outlineLevel="0" collapsed="false">
      <c r="A41" s="52" t="s">
        <v>124</v>
      </c>
      <c r="B41" s="53" t="n">
        <v>5000</v>
      </c>
      <c r="C41" s="53" t="n">
        <v>10000</v>
      </c>
      <c r="D41" s="51" t="s">
        <v>125</v>
      </c>
    </row>
    <row r="42" customFormat="false" ht="15.75" hidden="false" customHeight="true" outlineLevel="0" collapsed="false">
      <c r="A42" s="49" t="s">
        <v>126</v>
      </c>
      <c r="B42" s="53" t="n">
        <v>15000</v>
      </c>
      <c r="C42" s="53" t="n">
        <v>22000</v>
      </c>
      <c r="D42" s="51" t="s">
        <v>127</v>
      </c>
    </row>
    <row r="43" customFormat="false" ht="15.75" hidden="false" customHeight="true" outlineLevel="0" collapsed="false">
      <c r="A43" s="52" t="s">
        <v>128</v>
      </c>
      <c r="B43" s="53" t="n">
        <v>4000</v>
      </c>
      <c r="C43" s="53" t="n">
        <v>6000</v>
      </c>
      <c r="D43" s="51" t="s">
        <v>129</v>
      </c>
    </row>
    <row r="44" customFormat="false" ht="15.75" hidden="false" customHeight="true" outlineLevel="0" collapsed="false">
      <c r="A44" s="49" t="s">
        <v>130</v>
      </c>
      <c r="B44" s="53" t="n">
        <v>18000</v>
      </c>
      <c r="C44" s="53" t="n">
        <v>30000</v>
      </c>
      <c r="D44" s="51" t="s">
        <v>131</v>
      </c>
    </row>
    <row r="45" customFormat="false" ht="15.75" hidden="false" customHeight="true" outlineLevel="0" collapsed="false">
      <c r="A45" s="52" t="s">
        <v>132</v>
      </c>
      <c r="B45" s="53" t="n">
        <v>12000</v>
      </c>
      <c r="C45" s="53" t="n">
        <v>20000</v>
      </c>
      <c r="D45" s="51" t="s">
        <v>133</v>
      </c>
    </row>
    <row r="46" customFormat="false" ht="15.75" hidden="false" customHeight="true" outlineLevel="0" collapsed="false">
      <c r="A46" s="49" t="s">
        <v>134</v>
      </c>
      <c r="B46" s="53" t="n">
        <v>3000</v>
      </c>
      <c r="C46" s="53" t="n">
        <v>5000</v>
      </c>
      <c r="D46" s="51" t="s">
        <v>135</v>
      </c>
    </row>
    <row r="48" customFormat="false" ht="18" hidden="false" customHeight="true" outlineLevel="0" collapsed="false">
      <c r="A48" s="56" t="s">
        <v>136</v>
      </c>
      <c r="B48" s="56"/>
      <c r="C48" s="56"/>
      <c r="D48" s="56"/>
    </row>
    <row r="49" customFormat="false" ht="27.75" hidden="false" customHeight="true" outlineLevel="0" collapsed="false">
      <c r="A49" s="5" t="s">
        <v>70</v>
      </c>
      <c r="B49" s="47" t="s">
        <v>4</v>
      </c>
      <c r="C49" s="48" t="s">
        <v>5</v>
      </c>
      <c r="D49" s="5" t="s">
        <v>8</v>
      </c>
    </row>
    <row r="50" customFormat="false" ht="15.75" hidden="false" customHeight="true" outlineLevel="0" collapsed="false">
      <c r="A50" s="49" t="s">
        <v>137</v>
      </c>
      <c r="B50" s="53" t="n">
        <v>0</v>
      </c>
      <c r="C50" s="53" t="n">
        <v>0</v>
      </c>
      <c r="D50" s="51" t="s">
        <v>138</v>
      </c>
    </row>
    <row r="51" customFormat="false" ht="15.75" hidden="false" customHeight="true" outlineLevel="0" collapsed="false">
      <c r="A51" s="52" t="s">
        <v>139</v>
      </c>
      <c r="B51" s="53" t="n">
        <v>0</v>
      </c>
      <c r="C51" s="53" t="n">
        <v>45000</v>
      </c>
      <c r="D51" s="51" t="s">
        <v>140</v>
      </c>
    </row>
    <row r="52" customFormat="false" ht="15.75" hidden="false" customHeight="true" outlineLevel="0" collapsed="false">
      <c r="A52" s="49" t="s">
        <v>141</v>
      </c>
      <c r="B52" s="53" t="n">
        <v>0</v>
      </c>
      <c r="C52" s="53" t="n">
        <v>25000</v>
      </c>
      <c r="D52" s="51" t="s">
        <v>142</v>
      </c>
    </row>
    <row r="53" customFormat="false" ht="15.75" hidden="false" customHeight="true" outlineLevel="0" collapsed="false">
      <c r="A53" s="52" t="s">
        <v>143</v>
      </c>
      <c r="B53" s="53" t="n">
        <v>0</v>
      </c>
      <c r="C53" s="53" t="n">
        <v>12000</v>
      </c>
      <c r="D53" s="51" t="s">
        <v>144</v>
      </c>
    </row>
    <row r="54" customFormat="false" ht="15.75" hidden="false" customHeight="true" outlineLevel="0" collapsed="false">
      <c r="A54" s="49" t="s">
        <v>145</v>
      </c>
      <c r="B54" s="53" t="n">
        <v>0</v>
      </c>
      <c r="C54" s="53" t="n">
        <v>8000</v>
      </c>
      <c r="D54" s="51" t="s">
        <v>146</v>
      </c>
    </row>
    <row r="55" customFormat="false" ht="15.75" hidden="false" customHeight="true" outlineLevel="0" collapsed="false">
      <c r="A55" s="52" t="s">
        <v>147</v>
      </c>
      <c r="B55" s="53" t="n">
        <v>6000</v>
      </c>
      <c r="C55" s="53" t="n">
        <v>4000</v>
      </c>
      <c r="D55" s="51" t="s">
        <v>148</v>
      </c>
    </row>
    <row r="57" customFormat="false" ht="18" hidden="false" customHeight="true" outlineLevel="0" collapsed="false">
      <c r="A57" s="39" t="s">
        <v>149</v>
      </c>
      <c r="B57" s="39"/>
      <c r="C57" s="39"/>
      <c r="D57" s="39"/>
    </row>
    <row r="58" customFormat="false" ht="27.75" hidden="false" customHeight="true" outlineLevel="0" collapsed="false">
      <c r="A58" s="5" t="s">
        <v>150</v>
      </c>
      <c r="B58" s="6" t="s">
        <v>151</v>
      </c>
      <c r="C58" s="6" t="s">
        <v>152</v>
      </c>
      <c r="D58" s="5" t="s">
        <v>8</v>
      </c>
    </row>
    <row r="59" customFormat="false" ht="15.75" hidden="false" customHeight="true" outlineLevel="0" collapsed="false">
      <c r="A59" s="49" t="s">
        <v>153</v>
      </c>
      <c r="B59" s="53" t="n">
        <v>35000</v>
      </c>
      <c r="C59" s="50" t="n">
        <v>2</v>
      </c>
      <c r="D59" s="51" t="s">
        <v>154</v>
      </c>
    </row>
    <row r="60" customFormat="false" ht="15.75" hidden="false" customHeight="true" outlineLevel="0" collapsed="false">
      <c r="A60" s="52" t="s">
        <v>155</v>
      </c>
      <c r="B60" s="53" t="n">
        <v>12000</v>
      </c>
      <c r="C60" s="50" t="n">
        <v>2</v>
      </c>
      <c r="D60" s="51" t="s">
        <v>156</v>
      </c>
    </row>
    <row r="61" customFormat="false" ht="15.75" hidden="false" customHeight="true" outlineLevel="0" collapsed="false">
      <c r="A61" s="49" t="s">
        <v>157</v>
      </c>
      <c r="B61" s="53" t="n">
        <v>45000</v>
      </c>
      <c r="C61" s="50" t="n">
        <v>2</v>
      </c>
      <c r="D61" s="51" t="s">
        <v>158</v>
      </c>
    </row>
    <row r="62" customFormat="false" ht="15.75" hidden="false" customHeight="true" outlineLevel="0" collapsed="false">
      <c r="A62" s="52" t="s">
        <v>159</v>
      </c>
      <c r="B62" s="53" t="n">
        <v>8000</v>
      </c>
      <c r="C62" s="50" t="n">
        <v>2</v>
      </c>
      <c r="D62" s="51" t="s">
        <v>160</v>
      </c>
    </row>
    <row r="63" customFormat="false" ht="15.75" hidden="false" customHeight="true" outlineLevel="0" collapsed="false">
      <c r="A63" s="49" t="s">
        <v>161</v>
      </c>
      <c r="B63" s="53" t="n">
        <v>15000</v>
      </c>
      <c r="C63" s="50" t="n">
        <v>3</v>
      </c>
      <c r="D63" s="51" t="s">
        <v>162</v>
      </c>
    </row>
    <row r="64" customFormat="false" ht="15.75" hidden="false" customHeight="true" outlineLevel="0" collapsed="false">
      <c r="A64" s="52" t="s">
        <v>163</v>
      </c>
      <c r="B64" s="53" t="n">
        <v>10000</v>
      </c>
      <c r="C64" s="50" t="n">
        <v>2</v>
      </c>
      <c r="D64" s="51" t="s">
        <v>164</v>
      </c>
    </row>
    <row r="65" customFormat="false" ht="15.75" hidden="false" customHeight="true" outlineLevel="0" collapsed="false">
      <c r="A65" s="49" t="s">
        <v>165</v>
      </c>
      <c r="B65" s="55" t="n">
        <v>0.5</v>
      </c>
      <c r="C65" s="50" t="n">
        <v>0</v>
      </c>
      <c r="D65" s="51" t="s">
        <v>166</v>
      </c>
    </row>
    <row r="66" customFormat="false" ht="15.75" hidden="false" customHeight="true" outlineLevel="0" collapsed="false">
      <c r="A66" s="52" t="s">
        <v>167</v>
      </c>
      <c r="B66" s="55" t="n">
        <v>0.03</v>
      </c>
      <c r="C66" s="50" t="n">
        <v>0</v>
      </c>
      <c r="D66" s="51" t="s">
        <v>168</v>
      </c>
    </row>
  </sheetData>
  <mergeCells count="9">
    <mergeCell ref="A1:D1"/>
    <mergeCell ref="A2:D2"/>
    <mergeCell ref="A4:D4"/>
    <mergeCell ref="A13:D13"/>
    <mergeCell ref="A20:D20"/>
    <mergeCell ref="A28:D28"/>
    <mergeCell ref="A36:D36"/>
    <mergeCell ref="A48:D48"/>
    <mergeCell ref="A57:D5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6" min="2" style="1" width="14"/>
    <col collapsed="false" customWidth="true" hidden="false" outlineLevel="0" max="7" min="7" style="1" width="16"/>
  </cols>
  <sheetData>
    <row r="1" customFormat="false" ht="30" hidden="false" customHeight="true" outlineLevel="0" collapsed="false">
      <c r="A1" s="58" t="s">
        <v>169</v>
      </c>
      <c r="B1" s="58"/>
      <c r="C1" s="58"/>
      <c r="D1" s="58"/>
      <c r="E1" s="58"/>
      <c r="F1" s="58"/>
      <c r="G1" s="58"/>
    </row>
    <row r="2" customFormat="false" ht="13.5" hidden="false" customHeight="true" outlineLevel="0" collapsed="false">
      <c r="A2" s="46" t="s">
        <v>170</v>
      </c>
      <c r="B2" s="46"/>
      <c r="C2" s="46"/>
      <c r="D2" s="46"/>
      <c r="E2" s="46"/>
      <c r="F2" s="46"/>
      <c r="G2" s="46"/>
    </row>
    <row r="3" customFormat="false" ht="18" hidden="false" customHeight="true" outlineLevel="0" collapsed="false">
      <c r="A3" s="59" t="s">
        <v>171</v>
      </c>
      <c r="B3" s="59"/>
      <c r="C3" s="59"/>
      <c r="D3" s="59"/>
      <c r="E3" s="59"/>
      <c r="F3" s="59"/>
      <c r="G3" s="59"/>
    </row>
    <row r="4" customFormat="false" ht="18" hidden="false" customHeight="true" outlineLevel="0" collapsed="false">
      <c r="B4" s="47" t="s">
        <v>26</v>
      </c>
      <c r="C4" s="47" t="s">
        <v>27</v>
      </c>
      <c r="D4" s="47" t="s">
        <v>28</v>
      </c>
      <c r="E4" s="47" t="s">
        <v>29</v>
      </c>
      <c r="F4" s="47" t="s">
        <v>30</v>
      </c>
      <c r="G4" s="60" t="s">
        <v>172</v>
      </c>
    </row>
    <row r="5" customFormat="false" ht="18" hidden="false" customHeight="true" outlineLevel="0" collapsed="false">
      <c r="A5" s="61" t="s">
        <v>173</v>
      </c>
      <c r="B5" s="61"/>
      <c r="C5" s="61"/>
      <c r="D5" s="61"/>
      <c r="E5" s="61"/>
      <c r="F5" s="61"/>
      <c r="G5" s="61"/>
    </row>
    <row r="6" customFormat="false" ht="15.75" hidden="false" customHeight="true" outlineLevel="0" collapsed="false">
      <c r="A6" s="62" t="s">
        <v>174</v>
      </c>
      <c r="B6" s="63" t="n">
        <f aca="false">Assumptions!B6*Assumptions!B15*(1+Assumptions!B18)^0</f>
        <v>135000</v>
      </c>
      <c r="C6" s="63" t="n">
        <f aca="false">Assumptions!B6*Assumptions!B15*(1+Assumptions!B18)^1</f>
        <v>141750</v>
      </c>
      <c r="D6" s="63" t="n">
        <f aca="false">Assumptions!B6*Assumptions!B15*(1+Assumptions!B18)^2</f>
        <v>148837.5</v>
      </c>
      <c r="E6" s="63" t="n">
        <f aca="false">Assumptions!B6*Assumptions!B15*(1+Assumptions!B18)^3</f>
        <v>156279.375</v>
      </c>
      <c r="F6" s="63" t="n">
        <f aca="false">Assumptions!B6*Assumptions!B15*(1+Assumptions!B18)^4</f>
        <v>164093.34375</v>
      </c>
      <c r="G6" s="64" t="n">
        <f aca="false">SUM(B6:F6)</f>
        <v>745960.21875</v>
      </c>
    </row>
    <row r="7" customFormat="false" ht="15.75" hidden="false" customHeight="true" outlineLevel="0" collapsed="false">
      <c r="A7" s="13" t="s">
        <v>175</v>
      </c>
      <c r="B7" s="65" t="n">
        <f aca="false">B6</f>
        <v>135000</v>
      </c>
      <c r="C7" s="65" t="n">
        <f aca="false">B6</f>
        <v>135000</v>
      </c>
      <c r="D7" s="65" t="n">
        <f aca="false">B6</f>
        <v>135000</v>
      </c>
      <c r="E7" s="65" t="n">
        <f aca="false">B6</f>
        <v>135000</v>
      </c>
      <c r="F7" s="65" t="n">
        <f aca="false">B6</f>
        <v>135000</v>
      </c>
      <c r="G7" s="66" t="n">
        <f aca="false">SUM(B7:F7)</f>
        <v>675000</v>
      </c>
    </row>
    <row r="8" customFormat="false" ht="18" hidden="false" customHeight="true" outlineLevel="0" collapsed="false">
      <c r="A8" s="61" t="s">
        <v>176</v>
      </c>
      <c r="B8" s="61"/>
      <c r="C8" s="61"/>
      <c r="D8" s="61"/>
      <c r="E8" s="61"/>
      <c r="F8" s="61"/>
      <c r="G8" s="61"/>
    </row>
    <row r="9" customFormat="false" ht="15.75" hidden="false" customHeight="true" outlineLevel="0" collapsed="false">
      <c r="A9" s="62" t="s">
        <v>177</v>
      </c>
      <c r="B9" s="63" t="n">
        <f aca="false">Assumptions!B22*(1+Assumptions!B23)*Assumptions!B25</f>
        <v>92000</v>
      </c>
      <c r="C9" s="63" t="n">
        <f aca="false">Assumptions!B22*(1+Assumptions!B23)*Assumptions!B26</f>
        <v>0</v>
      </c>
      <c r="D9" s="63" t="s">
        <v>178</v>
      </c>
      <c r="E9" s="63" t="s">
        <v>178</v>
      </c>
      <c r="F9" s="63" t="s">
        <v>178</v>
      </c>
      <c r="G9" s="64" t="n">
        <f aca="false">SUM(B9:F9)</f>
        <v>92000</v>
      </c>
    </row>
    <row r="10" customFormat="false" ht="15.75" hidden="false" customHeight="true" outlineLevel="0" collapsed="false">
      <c r="A10" s="13" t="s">
        <v>179</v>
      </c>
      <c r="B10" s="65" t="n">
        <f aca="false">B9</f>
        <v>92000</v>
      </c>
      <c r="C10" s="65" t="n">
        <f aca="false">C9</f>
        <v>0</v>
      </c>
      <c r="D10" s="65" t="s">
        <v>178</v>
      </c>
      <c r="E10" s="65" t="s">
        <v>178</v>
      </c>
      <c r="F10" s="65" t="s">
        <v>178</v>
      </c>
      <c r="G10" s="66" t="n">
        <f aca="false">SUM(B10:F10)</f>
        <v>92000</v>
      </c>
    </row>
    <row r="11" customFormat="false" ht="18" hidden="false" customHeight="true" outlineLevel="0" collapsed="false">
      <c r="A11" s="61" t="s">
        <v>180</v>
      </c>
      <c r="B11" s="61"/>
      <c r="C11" s="61"/>
      <c r="D11" s="61"/>
      <c r="E11" s="61"/>
      <c r="F11" s="61"/>
      <c r="G11" s="61"/>
    </row>
    <row r="12" customFormat="false" ht="15.75" hidden="false" customHeight="true" outlineLevel="0" collapsed="false">
      <c r="A12" s="62" t="s">
        <v>181</v>
      </c>
      <c r="B12" s="63" t="n">
        <f aca="false">Assumptions!B30*Assumptions!B31*MIN(Assumptions!B32,12)/12</f>
        <v>106875</v>
      </c>
      <c r="C12" s="63" t="n">
        <f aca="false">Assumptions!B30*Assumptions!B31*MAX(Assumptions!B32-12,0)/12</f>
        <v>0</v>
      </c>
      <c r="D12" s="63" t="s">
        <v>178</v>
      </c>
      <c r="E12" s="63" t="s">
        <v>178</v>
      </c>
      <c r="F12" s="63" t="s">
        <v>178</v>
      </c>
      <c r="G12" s="64" t="n">
        <f aca="false">SUM(B12:F12)</f>
        <v>106875</v>
      </c>
    </row>
    <row r="13" customFormat="false" ht="15.75" hidden="false" customHeight="true" outlineLevel="0" collapsed="false">
      <c r="A13" s="67" t="s">
        <v>182</v>
      </c>
      <c r="B13" s="65" t="s">
        <v>178</v>
      </c>
      <c r="C13" s="65" t="n">
        <f aca="false">Assumptions!B33*Assumptions!B31*(1+Assumptions!B34)^1</f>
        <v>48925</v>
      </c>
      <c r="D13" s="65" t="n">
        <f aca="false">Assumptions!B33*Assumptions!B31*(1+Assumptions!B34)^2</f>
        <v>50392.75</v>
      </c>
      <c r="E13" s="65" t="n">
        <f aca="false">Assumptions!B33*Assumptions!B31*(1+Assumptions!B34)^3</f>
        <v>51904.5325</v>
      </c>
      <c r="F13" s="65" t="n">
        <f aca="false">Assumptions!B33*Assumptions!B31*(1+Assumptions!B34)^4</f>
        <v>53461.668475</v>
      </c>
      <c r="G13" s="66" t="n">
        <f aca="false">SUM(B13:F13)</f>
        <v>204683.950975</v>
      </c>
    </row>
    <row r="14" customFormat="false" ht="15.75" hidden="false" customHeight="true" outlineLevel="0" collapsed="false">
      <c r="A14" s="13" t="s">
        <v>183</v>
      </c>
      <c r="B14" s="65" t="n">
        <f aca="false">SUM(B12:B13)</f>
        <v>106875</v>
      </c>
      <c r="C14" s="65" t="n">
        <f aca="false">SUM(C12:C13)</f>
        <v>48925</v>
      </c>
      <c r="D14" s="65" t="n">
        <f aca="false">SUM(D12:D13)</f>
        <v>50392.75</v>
      </c>
      <c r="E14" s="65" t="n">
        <f aca="false">SUM(E12:E13)</f>
        <v>51904.5325</v>
      </c>
      <c r="F14" s="65" t="n">
        <f aca="false">SUM(F12:F13)</f>
        <v>53461.668475</v>
      </c>
      <c r="G14" s="66" t="n">
        <f aca="false">SUM(B14:F14)</f>
        <v>311558.950975</v>
      </c>
    </row>
    <row r="15" customFormat="false" ht="18" hidden="false" customHeight="true" outlineLevel="0" collapsed="false">
      <c r="A15" s="61" t="s">
        <v>184</v>
      </c>
      <c r="B15" s="61"/>
      <c r="C15" s="61"/>
      <c r="D15" s="61"/>
      <c r="E15" s="61"/>
      <c r="F15" s="61"/>
      <c r="G15" s="61"/>
    </row>
    <row r="16" customFormat="false" ht="15.75" hidden="false" customHeight="true" outlineLevel="0" collapsed="false">
      <c r="A16" s="62" t="s">
        <v>185</v>
      </c>
      <c r="B16" s="63" t="n">
        <f aca="false">Assumptions!B38</f>
        <v>25000</v>
      </c>
      <c r="C16" s="63" t="s">
        <v>178</v>
      </c>
      <c r="D16" s="63" t="s">
        <v>178</v>
      </c>
      <c r="E16" s="63" t="s">
        <v>178</v>
      </c>
      <c r="F16" s="63" t="s">
        <v>178</v>
      </c>
      <c r="G16" s="64" t="n">
        <f aca="false">SUM(B16:F16)</f>
        <v>25000</v>
      </c>
    </row>
    <row r="17" customFormat="false" ht="15.75" hidden="false" customHeight="true" outlineLevel="0" collapsed="false">
      <c r="A17" s="67" t="s">
        <v>186</v>
      </c>
      <c r="B17" s="65" t="s">
        <v>178</v>
      </c>
      <c r="C17" s="65" t="n">
        <f aca="false">Assumptions!B39</f>
        <v>8000</v>
      </c>
      <c r="D17" s="65" t="n">
        <f aca="false">Assumptions!B39</f>
        <v>8000</v>
      </c>
      <c r="E17" s="65" t="n">
        <f aca="false">Assumptions!B39</f>
        <v>8000</v>
      </c>
      <c r="F17" s="65" t="n">
        <f aca="false">Assumptions!B39</f>
        <v>8000</v>
      </c>
      <c r="G17" s="66" t="n">
        <f aca="false">SUM(B17:F17)</f>
        <v>32000</v>
      </c>
    </row>
    <row r="18" customFormat="false" ht="15.75" hidden="false" customHeight="true" outlineLevel="0" collapsed="false">
      <c r="A18" s="13" t="s">
        <v>187</v>
      </c>
      <c r="B18" s="65" t="n">
        <f aca="false">SUM(B16:B17)</f>
        <v>25000</v>
      </c>
      <c r="C18" s="65" t="n">
        <f aca="false">SUM(C16:C17)</f>
        <v>8000</v>
      </c>
      <c r="D18" s="65" t="n">
        <f aca="false">SUM(D16:D17)</f>
        <v>8000</v>
      </c>
      <c r="E18" s="65" t="n">
        <f aca="false">SUM(E16:E17)</f>
        <v>8000</v>
      </c>
      <c r="F18" s="65" t="n">
        <f aca="false">SUM(F16:F17)</f>
        <v>8000</v>
      </c>
      <c r="G18" s="66" t="n">
        <f aca="false">SUM(B18:F18)</f>
        <v>57000</v>
      </c>
    </row>
    <row r="19" customFormat="false" ht="18" hidden="false" customHeight="true" outlineLevel="0" collapsed="false">
      <c r="A19" s="61" t="s">
        <v>188</v>
      </c>
      <c r="B19" s="61"/>
      <c r="C19" s="61"/>
      <c r="D19" s="61"/>
      <c r="E19" s="61"/>
      <c r="F19" s="61"/>
      <c r="G19" s="61"/>
    </row>
    <row r="20" customFormat="false" ht="15.75" hidden="false" customHeight="true" outlineLevel="0" collapsed="false">
      <c r="A20" s="62" t="s">
        <v>189</v>
      </c>
      <c r="B20" s="63" t="n">
        <f aca="false">Assumptions!B40</f>
        <v>20000</v>
      </c>
      <c r="C20" s="63" t="s">
        <v>178</v>
      </c>
      <c r="D20" s="63" t="s">
        <v>178</v>
      </c>
      <c r="E20" s="63" t="s">
        <v>178</v>
      </c>
      <c r="F20" s="63" t="s">
        <v>178</v>
      </c>
      <c r="G20" s="64" t="n">
        <f aca="false">SUM(B20:F20)</f>
        <v>20000</v>
      </c>
    </row>
    <row r="21" customFormat="false" ht="15.75" hidden="false" customHeight="true" outlineLevel="0" collapsed="false">
      <c r="A21" s="67" t="s">
        <v>190</v>
      </c>
      <c r="B21" s="65" t="s">
        <v>178</v>
      </c>
      <c r="C21" s="65" t="n">
        <f aca="false">Assumptions!B41</f>
        <v>5000</v>
      </c>
      <c r="D21" s="65" t="n">
        <f aca="false">Assumptions!B41</f>
        <v>5000</v>
      </c>
      <c r="E21" s="65" t="n">
        <f aca="false">Assumptions!B41</f>
        <v>5000</v>
      </c>
      <c r="F21" s="65" t="n">
        <f aca="false">Assumptions!B41</f>
        <v>5000</v>
      </c>
      <c r="G21" s="66" t="n">
        <f aca="false">SUM(B21:F21)</f>
        <v>20000</v>
      </c>
    </row>
    <row r="22" customFormat="false" ht="15.75" hidden="false" customHeight="true" outlineLevel="0" collapsed="false">
      <c r="A22" s="13" t="s">
        <v>191</v>
      </c>
      <c r="B22" s="65" t="n">
        <f aca="false">SUM(B20:B21)</f>
        <v>20000</v>
      </c>
      <c r="C22" s="65" t="n">
        <f aca="false">SUM(C20:C21)</f>
        <v>5000</v>
      </c>
      <c r="D22" s="65" t="n">
        <f aca="false">SUM(D20:D21)</f>
        <v>5000</v>
      </c>
      <c r="E22" s="65" t="n">
        <f aca="false">SUM(E20:E21)</f>
        <v>5000</v>
      </c>
      <c r="F22" s="65" t="n">
        <f aca="false">SUM(F20:F21)</f>
        <v>5000</v>
      </c>
      <c r="G22" s="66" t="n">
        <f aca="false">SUM(B22:F22)</f>
        <v>40000</v>
      </c>
    </row>
    <row r="23" customFormat="false" ht="18" hidden="false" customHeight="true" outlineLevel="0" collapsed="false">
      <c r="A23" s="61" t="s">
        <v>192</v>
      </c>
      <c r="B23" s="61"/>
      <c r="C23" s="61"/>
      <c r="D23" s="61"/>
      <c r="E23" s="61"/>
      <c r="F23" s="61"/>
      <c r="G23" s="61"/>
    </row>
    <row r="24" customFormat="false" ht="15.75" hidden="false" customHeight="true" outlineLevel="0" collapsed="false">
      <c r="A24" s="62" t="s">
        <v>193</v>
      </c>
      <c r="B24" s="63" t="n">
        <f aca="false">Assumptions!B42</f>
        <v>15000</v>
      </c>
      <c r="C24" s="63" t="s">
        <v>178</v>
      </c>
      <c r="D24" s="63" t="s">
        <v>178</v>
      </c>
      <c r="E24" s="63" t="s">
        <v>178</v>
      </c>
      <c r="F24" s="63" t="s">
        <v>178</v>
      </c>
      <c r="G24" s="64" t="n">
        <f aca="false">SUM(B24:F24)</f>
        <v>15000</v>
      </c>
    </row>
    <row r="25" customFormat="false" ht="15.75" hidden="false" customHeight="true" outlineLevel="0" collapsed="false">
      <c r="A25" s="67" t="s">
        <v>194</v>
      </c>
      <c r="B25" s="65" t="s">
        <v>178</v>
      </c>
      <c r="C25" s="65" t="n">
        <f aca="false">Assumptions!B43</f>
        <v>4000</v>
      </c>
      <c r="D25" s="65" t="n">
        <f aca="false">Assumptions!B43</f>
        <v>4000</v>
      </c>
      <c r="E25" s="65" t="n">
        <f aca="false">Assumptions!B43</f>
        <v>4000</v>
      </c>
      <c r="F25" s="65" t="n">
        <f aca="false">Assumptions!B43</f>
        <v>4000</v>
      </c>
      <c r="G25" s="66" t="n">
        <f aca="false">SUM(B25:F25)</f>
        <v>16000</v>
      </c>
    </row>
    <row r="26" customFormat="false" ht="15.75" hidden="false" customHeight="true" outlineLevel="0" collapsed="false">
      <c r="A26" s="13" t="s">
        <v>195</v>
      </c>
      <c r="B26" s="65" t="n">
        <f aca="false">SUM(B24:B25)</f>
        <v>15000</v>
      </c>
      <c r="C26" s="65" t="n">
        <f aca="false">SUM(C24:C25)</f>
        <v>4000</v>
      </c>
      <c r="D26" s="65" t="n">
        <f aca="false">SUM(D24:D25)</f>
        <v>4000</v>
      </c>
      <c r="E26" s="65" t="n">
        <f aca="false">SUM(E24:E25)</f>
        <v>4000</v>
      </c>
      <c r="F26" s="65" t="n">
        <f aca="false">SUM(F24:F25)</f>
        <v>4000</v>
      </c>
      <c r="G26" s="66" t="n">
        <f aca="false">SUM(B26:F26)</f>
        <v>31000</v>
      </c>
    </row>
    <row r="27" customFormat="false" ht="18" hidden="false" customHeight="true" outlineLevel="0" collapsed="false">
      <c r="A27" s="61" t="s">
        <v>196</v>
      </c>
      <c r="B27" s="61"/>
      <c r="C27" s="61"/>
      <c r="D27" s="61"/>
      <c r="E27" s="61"/>
      <c r="F27" s="61"/>
      <c r="G27" s="61"/>
    </row>
    <row r="28" customFormat="false" ht="15.75" hidden="false" customHeight="true" outlineLevel="0" collapsed="false">
      <c r="A28" s="62" t="s">
        <v>197</v>
      </c>
      <c r="B28" s="63" t="n">
        <f aca="false">Assumptions!B44</f>
        <v>18000</v>
      </c>
      <c r="C28" s="63" t="s">
        <v>178</v>
      </c>
      <c r="D28" s="63" t="s">
        <v>178</v>
      </c>
      <c r="E28" s="63" t="s">
        <v>178</v>
      </c>
      <c r="F28" s="63" t="s">
        <v>178</v>
      </c>
      <c r="G28" s="64" t="n">
        <f aca="false">SUM(B28:F28)</f>
        <v>18000</v>
      </c>
    </row>
    <row r="29" customFormat="false" ht="15.75" hidden="false" customHeight="true" outlineLevel="0" collapsed="false">
      <c r="A29" s="13" t="s">
        <v>198</v>
      </c>
      <c r="B29" s="65" t="n">
        <f aca="false">B28</f>
        <v>18000</v>
      </c>
      <c r="C29" s="65" t="s">
        <v>178</v>
      </c>
      <c r="D29" s="65" t="s">
        <v>178</v>
      </c>
      <c r="E29" s="65" t="s">
        <v>178</v>
      </c>
      <c r="F29" s="65" t="s">
        <v>178</v>
      </c>
      <c r="G29" s="66" t="n">
        <f aca="false">SUM(B29:F29)</f>
        <v>18000</v>
      </c>
    </row>
    <row r="30" customFormat="false" ht="18" hidden="false" customHeight="true" outlineLevel="0" collapsed="false">
      <c r="A30" s="61" t="s">
        <v>199</v>
      </c>
      <c r="B30" s="61"/>
      <c r="C30" s="61"/>
      <c r="D30" s="61"/>
      <c r="E30" s="61"/>
      <c r="F30" s="61"/>
      <c r="G30" s="61"/>
    </row>
    <row r="31" customFormat="false" ht="15.75" hidden="false" customHeight="true" outlineLevel="0" collapsed="false">
      <c r="A31" s="62" t="s">
        <v>200</v>
      </c>
      <c r="B31" s="63" t="n">
        <f aca="false">Assumptions!B45</f>
        <v>12000</v>
      </c>
      <c r="C31" s="63" t="s">
        <v>178</v>
      </c>
      <c r="D31" s="63" t="s">
        <v>178</v>
      </c>
      <c r="E31" s="63" t="s">
        <v>178</v>
      </c>
      <c r="F31" s="63" t="s">
        <v>178</v>
      </c>
      <c r="G31" s="64" t="n">
        <f aca="false">SUM(B31:F31)</f>
        <v>12000</v>
      </c>
    </row>
    <row r="32" customFormat="false" ht="15.75" hidden="false" customHeight="true" outlineLevel="0" collapsed="false">
      <c r="A32" s="67" t="s">
        <v>201</v>
      </c>
      <c r="B32" s="65" t="s">
        <v>178</v>
      </c>
      <c r="C32" s="65" t="n">
        <f aca="false">Assumptions!B46</f>
        <v>3000</v>
      </c>
      <c r="D32" s="65" t="n">
        <f aca="false">Assumptions!B46</f>
        <v>3000</v>
      </c>
      <c r="E32" s="65" t="n">
        <f aca="false">Assumptions!B46</f>
        <v>3000</v>
      </c>
      <c r="F32" s="65" t="n">
        <f aca="false">Assumptions!B46</f>
        <v>3000</v>
      </c>
      <c r="G32" s="66" t="n">
        <f aca="false">SUM(B32:F32)</f>
        <v>12000</v>
      </c>
    </row>
    <row r="33" customFormat="false" ht="15.75" hidden="false" customHeight="true" outlineLevel="0" collapsed="false">
      <c r="A33" s="13" t="s">
        <v>202</v>
      </c>
      <c r="B33" s="65" t="n">
        <f aca="false">SUM(B31:B32)</f>
        <v>12000</v>
      </c>
      <c r="C33" s="65" t="n">
        <f aca="false">SUM(C31:C32)</f>
        <v>3000</v>
      </c>
      <c r="D33" s="65" t="n">
        <f aca="false">SUM(D31:D32)</f>
        <v>3000</v>
      </c>
      <c r="E33" s="65" t="n">
        <f aca="false">SUM(E31:E32)</f>
        <v>3000</v>
      </c>
      <c r="F33" s="65" t="n">
        <f aca="false">SUM(F31:F32)</f>
        <v>3000</v>
      </c>
      <c r="G33" s="66" t="n">
        <f aca="false">SUM(B33:F33)</f>
        <v>24000</v>
      </c>
    </row>
    <row r="34" customFormat="false" ht="18" hidden="false" customHeight="true" outlineLevel="0" collapsed="false">
      <c r="A34" s="61" t="s">
        <v>203</v>
      </c>
      <c r="B34" s="61"/>
      <c r="C34" s="61"/>
      <c r="D34" s="61"/>
      <c r="E34" s="61"/>
      <c r="F34" s="61"/>
      <c r="G34" s="61"/>
    </row>
    <row r="35" customFormat="false" ht="15.75" hidden="false" customHeight="true" outlineLevel="0" collapsed="false">
      <c r="A35" s="62" t="s">
        <v>204</v>
      </c>
      <c r="B35" s="63" t="s">
        <v>178</v>
      </c>
      <c r="C35" s="63" t="s">
        <v>178</v>
      </c>
      <c r="D35" s="63" t="s">
        <v>178</v>
      </c>
      <c r="E35" s="63" t="s">
        <v>178</v>
      </c>
      <c r="F35" s="63" t="s">
        <v>178</v>
      </c>
      <c r="G35" s="64" t="n">
        <f aca="false">SUM(B35:F35)</f>
        <v>0</v>
      </c>
    </row>
    <row r="36" customFormat="false" ht="15.75" hidden="false" customHeight="true" outlineLevel="0" collapsed="false">
      <c r="A36" s="67" t="s">
        <v>205</v>
      </c>
      <c r="B36" s="65" t="n">
        <f aca="false">Assumptions!B55*(1+Assumptions!B10)^0</f>
        <v>6000</v>
      </c>
      <c r="C36" s="65" t="n">
        <f aca="false">Assumptions!B55*(1+Assumptions!B10)^1</f>
        <v>6180</v>
      </c>
      <c r="D36" s="65" t="n">
        <f aca="false">Assumptions!B55*(1+Assumptions!B10)^2</f>
        <v>6365.4</v>
      </c>
      <c r="E36" s="65" t="n">
        <f aca="false">Assumptions!B55*(1+Assumptions!B10)^3</f>
        <v>6556.362</v>
      </c>
      <c r="F36" s="65" t="n">
        <f aca="false">Assumptions!B55*(1+Assumptions!B10)^4</f>
        <v>6753.05286</v>
      </c>
      <c r="G36" s="66" t="n">
        <f aca="false">SUM(B36:F36)</f>
        <v>31854.81486</v>
      </c>
    </row>
    <row r="37" customFormat="false" ht="15.75" hidden="false" customHeight="true" outlineLevel="0" collapsed="false">
      <c r="A37" s="13" t="s">
        <v>206</v>
      </c>
      <c r="B37" s="65" t="n">
        <f aca="false">SUM(B35:B36)</f>
        <v>6000</v>
      </c>
      <c r="C37" s="65" t="n">
        <f aca="false">SUM(C35:C36)</f>
        <v>6180</v>
      </c>
      <c r="D37" s="65" t="n">
        <f aca="false">SUM(D35:D36)</f>
        <v>6365.4</v>
      </c>
      <c r="E37" s="65" t="n">
        <f aca="false">SUM(E35:E36)</f>
        <v>6556.362</v>
      </c>
      <c r="F37" s="65" t="n">
        <f aca="false">SUM(F35:F36)</f>
        <v>6753.05286</v>
      </c>
      <c r="G37" s="66" t="n">
        <f aca="false">SUM(B37:F37)</f>
        <v>31854.81486</v>
      </c>
    </row>
    <row r="38" customFormat="false" ht="21.75" hidden="false" customHeight="true" outlineLevel="0" collapsed="false">
      <c r="A38" s="68" t="s">
        <v>207</v>
      </c>
      <c r="B38" s="68"/>
      <c r="C38" s="68"/>
      <c r="D38" s="68"/>
      <c r="E38" s="68"/>
      <c r="F38" s="68"/>
      <c r="G38" s="68"/>
    </row>
    <row r="39" customFormat="false" ht="21.75" hidden="false" customHeight="true" outlineLevel="0" collapsed="false">
      <c r="B39" s="69" t="n">
        <f aca="false">B7+B10+B14+B18+B22+B26+B29+B33+B37</f>
        <v>429875</v>
      </c>
      <c r="C39" s="69" t="n">
        <f aca="false">C7+C10+C14+C18+C22+C26+C29+C33+C37</f>
        <v>210105</v>
      </c>
      <c r="D39" s="69" t="n">
        <f aca="false">D7+D10+D14+D18+D22+D26+D29+D33+D37</f>
        <v>211758.15</v>
      </c>
      <c r="E39" s="69" t="n">
        <f aca="false">E7+E10+E14+E18+E22+E26+E29+E33+E37</f>
        <v>213460.8945</v>
      </c>
      <c r="F39" s="69" t="n">
        <f aca="false">F7+F10+F14+F18+F22+F26+F29+F33+F37</f>
        <v>215214.721335</v>
      </c>
      <c r="G39" s="70" t="n">
        <f aca="false">G7+G10+G14+G18+G22+G26+G29+G33+G37</f>
        <v>1280413.765835</v>
      </c>
    </row>
    <row r="40" customFormat="false" ht="18" hidden="false" customHeight="true" outlineLevel="0" collapsed="false">
      <c r="A40" s="61" t="s">
        <v>208</v>
      </c>
      <c r="B40" s="61"/>
      <c r="C40" s="61"/>
      <c r="D40" s="61"/>
      <c r="E40" s="61"/>
      <c r="F40" s="61"/>
      <c r="G40" s="61"/>
    </row>
    <row r="41" customFormat="false" ht="15.75" hidden="false" customHeight="true" outlineLevel="0" collapsed="false">
      <c r="A41" s="7" t="s">
        <v>209</v>
      </c>
      <c r="B41" s="71" t="n">
        <f aca="false">B39/(1+Assumptions!B9)^1+C39/(1+Assumptions!B9)^2+D39/(1+Assumptions!B9)^3+E39/(1+Assumptions!B9)^4+F39/(1+Assumptions!B9)^5</f>
        <v>1002961.05537066</v>
      </c>
      <c r="C41" s="71"/>
      <c r="D41" s="71"/>
      <c r="E41" s="71"/>
      <c r="F41" s="71"/>
      <c r="G41" s="72" t="n">
        <f aca="false">B39/(1+Assumptions!B9)^1+C39/(1+Assumptions!B9)^2+D39/(1+Assumptions!B9)^3+E39/(1+Assumptions!B9)^4+F39/(1+Assumptions!B9)^5</f>
        <v>1002961.05537066</v>
      </c>
    </row>
    <row r="42" customFormat="false" ht="15.75" hidden="false" customHeight="true" outlineLevel="0" collapsed="false">
      <c r="A42" s="52" t="s">
        <v>210</v>
      </c>
      <c r="B42" s="73" t="n">
        <f aca="false">G39/(Assumptions!B6*5)</f>
        <v>3414.43670889333</v>
      </c>
      <c r="C42" s="73"/>
      <c r="D42" s="73"/>
      <c r="E42" s="73"/>
      <c r="F42" s="73"/>
      <c r="G42" s="74"/>
    </row>
  </sheetData>
  <mergeCells count="16">
    <mergeCell ref="A1:G1"/>
    <mergeCell ref="A2:G2"/>
    <mergeCell ref="A3:G3"/>
    <mergeCell ref="A5:G5"/>
    <mergeCell ref="A8:G8"/>
    <mergeCell ref="A11:G11"/>
    <mergeCell ref="A15:G15"/>
    <mergeCell ref="A19:G19"/>
    <mergeCell ref="A23:G23"/>
    <mergeCell ref="A27:G27"/>
    <mergeCell ref="A30:G30"/>
    <mergeCell ref="A34:G34"/>
    <mergeCell ref="A38:G38"/>
    <mergeCell ref="A40:G40"/>
    <mergeCell ref="B41:F41"/>
    <mergeCell ref="B42:F4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6" min="2" style="1" width="14"/>
    <col collapsed="false" customWidth="true" hidden="false" outlineLevel="0" max="7" min="7" style="1" width="16"/>
  </cols>
  <sheetData>
    <row r="1" customFormat="false" ht="30" hidden="false" customHeight="true" outlineLevel="0" collapsed="false">
      <c r="A1" s="75" t="s">
        <v>211</v>
      </c>
      <c r="B1" s="75"/>
      <c r="C1" s="75"/>
      <c r="D1" s="75"/>
      <c r="E1" s="75"/>
      <c r="F1" s="75"/>
      <c r="G1" s="75"/>
    </row>
    <row r="2" customFormat="false" ht="13.5" hidden="false" customHeight="true" outlineLevel="0" collapsed="false">
      <c r="A2" s="46" t="s">
        <v>170</v>
      </c>
      <c r="B2" s="46"/>
      <c r="C2" s="46"/>
      <c r="D2" s="46"/>
      <c r="E2" s="46"/>
      <c r="F2" s="46"/>
      <c r="G2" s="46"/>
    </row>
    <row r="3" customFormat="false" ht="18" hidden="false" customHeight="true" outlineLevel="0" collapsed="false">
      <c r="A3" s="76" t="s">
        <v>171</v>
      </c>
      <c r="B3" s="76"/>
      <c r="C3" s="76"/>
      <c r="D3" s="76"/>
      <c r="E3" s="76"/>
      <c r="F3" s="76"/>
      <c r="G3" s="76"/>
    </row>
    <row r="4" customFormat="false" ht="18" hidden="false" customHeight="true" outlineLevel="0" collapsed="false">
      <c r="B4" s="48" t="s">
        <v>26</v>
      </c>
      <c r="C4" s="48" t="s">
        <v>27</v>
      </c>
      <c r="D4" s="48" t="s">
        <v>28</v>
      </c>
      <c r="E4" s="48" t="s">
        <v>29</v>
      </c>
      <c r="F4" s="48" t="s">
        <v>30</v>
      </c>
      <c r="G4" s="77" t="s">
        <v>172</v>
      </c>
    </row>
    <row r="5" customFormat="false" ht="18" hidden="false" customHeight="true" outlineLevel="0" collapsed="false">
      <c r="A5" s="61" t="s">
        <v>173</v>
      </c>
      <c r="B5" s="61"/>
      <c r="C5" s="61"/>
      <c r="D5" s="61"/>
      <c r="E5" s="61"/>
      <c r="F5" s="61"/>
      <c r="G5" s="61"/>
    </row>
    <row r="6" customFormat="false" ht="15.75" hidden="false" customHeight="true" outlineLevel="0" collapsed="false">
      <c r="A6" s="62" t="s">
        <v>212</v>
      </c>
      <c r="B6" s="63" t="n">
        <f aca="false">Assumptions!C16</f>
        <v>180000</v>
      </c>
      <c r="C6" s="63" t="s">
        <v>178</v>
      </c>
      <c r="D6" s="63" t="s">
        <v>178</v>
      </c>
      <c r="E6" s="63" t="s">
        <v>178</v>
      </c>
      <c r="F6" s="63" t="s">
        <v>178</v>
      </c>
      <c r="G6" s="64" t="n">
        <f aca="false">SUM(B6:F6)</f>
        <v>180000</v>
      </c>
    </row>
    <row r="7" customFormat="false" ht="15.75" hidden="false" customHeight="true" outlineLevel="0" collapsed="false">
      <c r="A7" s="67" t="s">
        <v>213</v>
      </c>
      <c r="B7" s="65" t="s">
        <v>178</v>
      </c>
      <c r="C7" s="65" t="n">
        <f aca="false">Assumptions!C16*Assumptions!C17*(1+Assumptions!C18)^1</f>
        <v>37080</v>
      </c>
      <c r="D7" s="65" t="n">
        <f aca="false">Assumptions!C16*Assumptions!C17*(1+Assumptions!C18)^2</f>
        <v>38192.4</v>
      </c>
      <c r="E7" s="65" t="n">
        <f aca="false">Assumptions!C16*Assumptions!C17*(1+Assumptions!C18)^3</f>
        <v>39338.172</v>
      </c>
      <c r="F7" s="65" t="n">
        <f aca="false">Assumptions!C16*Assumptions!C17*(1+Assumptions!C18)^4</f>
        <v>40518.31716</v>
      </c>
      <c r="G7" s="66" t="n">
        <f aca="false">SUM(B7:F7)</f>
        <v>155128.88916</v>
      </c>
    </row>
    <row r="8" customFormat="false" ht="15.75" hidden="false" customHeight="true" outlineLevel="0" collapsed="false">
      <c r="A8" s="13" t="s">
        <v>214</v>
      </c>
      <c r="B8" s="65" t="n">
        <f aca="false">SUM(B6:B7)</f>
        <v>180000</v>
      </c>
      <c r="C8" s="65" t="n">
        <f aca="false">SUM(C6:C7)</f>
        <v>37080</v>
      </c>
      <c r="D8" s="65" t="n">
        <f aca="false">SUM(D6:D7)</f>
        <v>38192.4</v>
      </c>
      <c r="E8" s="65" t="n">
        <f aca="false">SUM(E6:E7)</f>
        <v>39338.172</v>
      </c>
      <c r="F8" s="65" t="n">
        <f aca="false">SUM(F6:F7)</f>
        <v>40518.31716</v>
      </c>
      <c r="G8" s="66" t="n">
        <f aca="false">SUM(B8:F8)</f>
        <v>335128.88916</v>
      </c>
    </row>
    <row r="9" customFormat="false" ht="18" hidden="false" customHeight="true" outlineLevel="0" collapsed="false">
      <c r="A9" s="61" t="s">
        <v>176</v>
      </c>
      <c r="B9" s="61"/>
      <c r="C9" s="61"/>
      <c r="D9" s="61"/>
      <c r="E9" s="61"/>
      <c r="F9" s="61"/>
      <c r="G9" s="61"/>
    </row>
    <row r="10" customFormat="false" ht="15.75" hidden="false" customHeight="true" outlineLevel="0" collapsed="false">
      <c r="A10" s="62" t="s">
        <v>177</v>
      </c>
      <c r="B10" s="63" t="n">
        <f aca="false">Assumptions!C22*(1+Assumptions!C23)*Assumptions!C25</f>
        <v>90000</v>
      </c>
      <c r="C10" s="63" t="n">
        <f aca="false">Assumptions!C22*(1+Assumptions!C23)*Assumptions!C26</f>
        <v>60000</v>
      </c>
      <c r="D10" s="63" t="s">
        <v>178</v>
      </c>
      <c r="E10" s="63" t="s">
        <v>178</v>
      </c>
      <c r="F10" s="63" t="s">
        <v>178</v>
      </c>
      <c r="G10" s="64" t="n">
        <f aca="false">SUM(B10:F10)</f>
        <v>150000</v>
      </c>
    </row>
    <row r="11" customFormat="false" ht="15.75" hidden="false" customHeight="true" outlineLevel="0" collapsed="false">
      <c r="A11" s="13" t="s">
        <v>179</v>
      </c>
      <c r="B11" s="65" t="n">
        <f aca="false">B10</f>
        <v>90000</v>
      </c>
      <c r="C11" s="65" t="n">
        <f aca="false">C10</f>
        <v>60000</v>
      </c>
      <c r="D11" s="65" t="s">
        <v>178</v>
      </c>
      <c r="E11" s="65" t="s">
        <v>178</v>
      </c>
      <c r="F11" s="65" t="s">
        <v>178</v>
      </c>
      <c r="G11" s="66" t="n">
        <f aca="false">SUM(B11:F11)</f>
        <v>150000</v>
      </c>
    </row>
    <row r="12" customFormat="false" ht="18" hidden="false" customHeight="true" outlineLevel="0" collapsed="false">
      <c r="A12" s="61" t="s">
        <v>180</v>
      </c>
      <c r="B12" s="61"/>
      <c r="C12" s="61"/>
      <c r="D12" s="61"/>
      <c r="E12" s="61"/>
      <c r="F12" s="61"/>
      <c r="G12" s="61"/>
    </row>
    <row r="13" customFormat="false" ht="15.75" hidden="false" customHeight="true" outlineLevel="0" collapsed="false">
      <c r="A13" s="62" t="s">
        <v>181</v>
      </c>
      <c r="B13" s="63" t="n">
        <f aca="false">Assumptions!C30*Assumptions!C31*MIN(Assumptions!C32,12)/12</f>
        <v>237500</v>
      </c>
      <c r="C13" s="63" t="n">
        <f aca="false">Assumptions!C30*Assumptions!C31*MAX(Assumptions!C32-12,0)/12</f>
        <v>59375</v>
      </c>
      <c r="D13" s="63" t="s">
        <v>178</v>
      </c>
      <c r="E13" s="63" t="s">
        <v>178</v>
      </c>
      <c r="F13" s="63" t="s">
        <v>178</v>
      </c>
      <c r="G13" s="64" t="n">
        <f aca="false">SUM(B13:F13)</f>
        <v>296875</v>
      </c>
    </row>
    <row r="14" customFormat="false" ht="15.75" hidden="false" customHeight="true" outlineLevel="0" collapsed="false">
      <c r="A14" s="67" t="s">
        <v>182</v>
      </c>
      <c r="B14" s="65" t="s">
        <v>178</v>
      </c>
      <c r="C14" s="65" t="n">
        <f aca="false">Assumptions!C33*Assumptions!C31*(1+Assumptions!C34)^1</f>
        <v>146775</v>
      </c>
      <c r="D14" s="65" t="n">
        <f aca="false">Assumptions!C33*Assumptions!C31*(1+Assumptions!C34)^2</f>
        <v>151178.25</v>
      </c>
      <c r="E14" s="65" t="n">
        <f aca="false">Assumptions!C33*Assumptions!C31*(1+Assumptions!C34)^3</f>
        <v>155713.5975</v>
      </c>
      <c r="F14" s="65" t="n">
        <f aca="false">Assumptions!C33*Assumptions!C31*(1+Assumptions!C34)^4</f>
        <v>160385.005425</v>
      </c>
      <c r="G14" s="66" t="n">
        <f aca="false">SUM(B14:F14)</f>
        <v>614051.852925</v>
      </c>
    </row>
    <row r="15" customFormat="false" ht="15.75" hidden="false" customHeight="true" outlineLevel="0" collapsed="false">
      <c r="A15" s="13" t="s">
        <v>183</v>
      </c>
      <c r="B15" s="65" t="n">
        <f aca="false">SUM(B13:B14)</f>
        <v>237500</v>
      </c>
      <c r="C15" s="65" t="n">
        <f aca="false">SUM(C13:C14)</f>
        <v>206150</v>
      </c>
      <c r="D15" s="65" t="n">
        <f aca="false">SUM(D13:D14)</f>
        <v>151178.25</v>
      </c>
      <c r="E15" s="65" t="n">
        <f aca="false">SUM(E13:E14)</f>
        <v>155713.5975</v>
      </c>
      <c r="F15" s="65" t="n">
        <f aca="false">SUM(F13:F14)</f>
        <v>160385.005425</v>
      </c>
      <c r="G15" s="66" t="n">
        <f aca="false">SUM(B15:F15)</f>
        <v>910926.852925</v>
      </c>
    </row>
    <row r="16" customFormat="false" ht="18" hidden="false" customHeight="true" outlineLevel="0" collapsed="false">
      <c r="A16" s="61" t="s">
        <v>184</v>
      </c>
      <c r="B16" s="61"/>
      <c r="C16" s="61"/>
      <c r="D16" s="61"/>
      <c r="E16" s="61"/>
      <c r="F16" s="61"/>
      <c r="G16" s="61"/>
    </row>
    <row r="17" customFormat="false" ht="15.75" hidden="false" customHeight="true" outlineLevel="0" collapsed="false">
      <c r="A17" s="62" t="s">
        <v>185</v>
      </c>
      <c r="B17" s="63" t="n">
        <f aca="false">Assumptions!C38</f>
        <v>60000</v>
      </c>
      <c r="C17" s="63" t="s">
        <v>178</v>
      </c>
      <c r="D17" s="63" t="s">
        <v>178</v>
      </c>
      <c r="E17" s="63" t="s">
        <v>178</v>
      </c>
      <c r="F17" s="63" t="s">
        <v>178</v>
      </c>
      <c r="G17" s="64" t="n">
        <f aca="false">SUM(B17:F17)</f>
        <v>60000</v>
      </c>
    </row>
    <row r="18" customFormat="false" ht="15.75" hidden="false" customHeight="true" outlineLevel="0" collapsed="false">
      <c r="A18" s="67" t="s">
        <v>186</v>
      </c>
      <c r="B18" s="65" t="s">
        <v>178</v>
      </c>
      <c r="C18" s="65" t="n">
        <f aca="false">Assumptions!C39</f>
        <v>20000</v>
      </c>
      <c r="D18" s="65" t="n">
        <f aca="false">Assumptions!C39</f>
        <v>20000</v>
      </c>
      <c r="E18" s="65" t="n">
        <f aca="false">Assumptions!C39</f>
        <v>20000</v>
      </c>
      <c r="F18" s="65" t="n">
        <f aca="false">Assumptions!C39</f>
        <v>20000</v>
      </c>
      <c r="G18" s="66" t="n">
        <f aca="false">SUM(B18:F18)</f>
        <v>80000</v>
      </c>
    </row>
    <row r="19" customFormat="false" ht="15.75" hidden="false" customHeight="true" outlineLevel="0" collapsed="false">
      <c r="A19" s="13" t="s">
        <v>187</v>
      </c>
      <c r="B19" s="65" t="n">
        <f aca="false">SUM(B17:B18)</f>
        <v>60000</v>
      </c>
      <c r="C19" s="65" t="n">
        <f aca="false">SUM(C17:C18)</f>
        <v>20000</v>
      </c>
      <c r="D19" s="65" t="n">
        <f aca="false">SUM(D17:D18)</f>
        <v>20000</v>
      </c>
      <c r="E19" s="65" t="n">
        <f aca="false">SUM(E17:E18)</f>
        <v>20000</v>
      </c>
      <c r="F19" s="65" t="n">
        <f aca="false">SUM(F17:F18)</f>
        <v>20000</v>
      </c>
      <c r="G19" s="66" t="n">
        <f aca="false">SUM(B19:F19)</f>
        <v>140000</v>
      </c>
    </row>
    <row r="20" customFormat="false" ht="18" hidden="false" customHeight="true" outlineLevel="0" collapsed="false">
      <c r="A20" s="61" t="s">
        <v>188</v>
      </c>
      <c r="B20" s="61"/>
      <c r="C20" s="61"/>
      <c r="D20" s="61"/>
      <c r="E20" s="61"/>
      <c r="F20" s="61"/>
      <c r="G20" s="61"/>
    </row>
    <row r="21" customFormat="false" ht="15.75" hidden="false" customHeight="true" outlineLevel="0" collapsed="false">
      <c r="A21" s="62" t="s">
        <v>189</v>
      </c>
      <c r="B21" s="63" t="n">
        <f aca="false">Assumptions!C40</f>
        <v>35000</v>
      </c>
      <c r="C21" s="63" t="s">
        <v>178</v>
      </c>
      <c r="D21" s="63" t="s">
        <v>178</v>
      </c>
      <c r="E21" s="63" t="s">
        <v>178</v>
      </c>
      <c r="F21" s="63" t="s">
        <v>178</v>
      </c>
      <c r="G21" s="64" t="n">
        <f aca="false">SUM(B21:F21)</f>
        <v>35000</v>
      </c>
    </row>
    <row r="22" customFormat="false" ht="15.75" hidden="false" customHeight="true" outlineLevel="0" collapsed="false">
      <c r="A22" s="67" t="s">
        <v>190</v>
      </c>
      <c r="B22" s="65" t="s">
        <v>178</v>
      </c>
      <c r="C22" s="65" t="n">
        <f aca="false">Assumptions!C41</f>
        <v>10000</v>
      </c>
      <c r="D22" s="65" t="n">
        <f aca="false">Assumptions!C41</f>
        <v>10000</v>
      </c>
      <c r="E22" s="65" t="n">
        <f aca="false">Assumptions!C41</f>
        <v>10000</v>
      </c>
      <c r="F22" s="65" t="n">
        <f aca="false">Assumptions!C41</f>
        <v>10000</v>
      </c>
      <c r="G22" s="66" t="n">
        <f aca="false">SUM(B22:F22)</f>
        <v>40000</v>
      </c>
    </row>
    <row r="23" customFormat="false" ht="15.75" hidden="false" customHeight="true" outlineLevel="0" collapsed="false">
      <c r="A23" s="13" t="s">
        <v>191</v>
      </c>
      <c r="B23" s="65" t="n">
        <f aca="false">SUM(B21:B22)</f>
        <v>35000</v>
      </c>
      <c r="C23" s="65" t="n">
        <f aca="false">SUM(C21:C22)</f>
        <v>10000</v>
      </c>
      <c r="D23" s="65" t="n">
        <f aca="false">SUM(D21:D22)</f>
        <v>10000</v>
      </c>
      <c r="E23" s="65" t="n">
        <f aca="false">SUM(E21:E22)</f>
        <v>10000</v>
      </c>
      <c r="F23" s="65" t="n">
        <f aca="false">SUM(F21:F22)</f>
        <v>10000</v>
      </c>
      <c r="G23" s="66" t="n">
        <f aca="false">SUM(B23:F23)</f>
        <v>75000</v>
      </c>
    </row>
    <row r="24" customFormat="false" ht="18" hidden="false" customHeight="true" outlineLevel="0" collapsed="false">
      <c r="A24" s="61" t="s">
        <v>192</v>
      </c>
      <c r="B24" s="61"/>
      <c r="C24" s="61"/>
      <c r="D24" s="61"/>
      <c r="E24" s="61"/>
      <c r="F24" s="61"/>
      <c r="G24" s="61"/>
    </row>
    <row r="25" customFormat="false" ht="15.75" hidden="false" customHeight="true" outlineLevel="0" collapsed="false">
      <c r="A25" s="62" t="s">
        <v>193</v>
      </c>
      <c r="B25" s="63" t="n">
        <f aca="false">Assumptions!C42</f>
        <v>22000</v>
      </c>
      <c r="C25" s="63" t="s">
        <v>178</v>
      </c>
      <c r="D25" s="63" t="s">
        <v>178</v>
      </c>
      <c r="E25" s="63" t="s">
        <v>178</v>
      </c>
      <c r="F25" s="63" t="s">
        <v>178</v>
      </c>
      <c r="G25" s="64" t="n">
        <f aca="false">SUM(B25:F25)</f>
        <v>22000</v>
      </c>
    </row>
    <row r="26" customFormat="false" ht="15.75" hidden="false" customHeight="true" outlineLevel="0" collapsed="false">
      <c r="A26" s="67" t="s">
        <v>194</v>
      </c>
      <c r="B26" s="65" t="s">
        <v>178</v>
      </c>
      <c r="C26" s="65" t="n">
        <f aca="false">Assumptions!C43</f>
        <v>6000</v>
      </c>
      <c r="D26" s="65" t="n">
        <f aca="false">Assumptions!C43</f>
        <v>6000</v>
      </c>
      <c r="E26" s="65" t="n">
        <f aca="false">Assumptions!C43</f>
        <v>6000</v>
      </c>
      <c r="F26" s="65" t="n">
        <f aca="false">Assumptions!C43</f>
        <v>6000</v>
      </c>
      <c r="G26" s="66" t="n">
        <f aca="false">SUM(B26:F26)</f>
        <v>24000</v>
      </c>
    </row>
    <row r="27" customFormat="false" ht="15.75" hidden="false" customHeight="true" outlineLevel="0" collapsed="false">
      <c r="A27" s="13" t="s">
        <v>195</v>
      </c>
      <c r="B27" s="65" t="n">
        <f aca="false">SUM(B25:B26)</f>
        <v>22000</v>
      </c>
      <c r="C27" s="65" t="n">
        <f aca="false">SUM(C25:C26)</f>
        <v>6000</v>
      </c>
      <c r="D27" s="65" t="n">
        <f aca="false">SUM(D25:D26)</f>
        <v>6000</v>
      </c>
      <c r="E27" s="65" t="n">
        <f aca="false">SUM(E25:E26)</f>
        <v>6000</v>
      </c>
      <c r="F27" s="65" t="n">
        <f aca="false">SUM(F25:F26)</f>
        <v>6000</v>
      </c>
      <c r="G27" s="66" t="n">
        <f aca="false">SUM(B27:F27)</f>
        <v>46000</v>
      </c>
    </row>
    <row r="28" customFormat="false" ht="18" hidden="false" customHeight="true" outlineLevel="0" collapsed="false">
      <c r="A28" s="61" t="s">
        <v>196</v>
      </c>
      <c r="B28" s="61"/>
      <c r="C28" s="61"/>
      <c r="D28" s="61"/>
      <c r="E28" s="61"/>
      <c r="F28" s="61"/>
      <c r="G28" s="61"/>
    </row>
    <row r="29" customFormat="false" ht="15.75" hidden="false" customHeight="true" outlineLevel="0" collapsed="false">
      <c r="A29" s="62" t="s">
        <v>197</v>
      </c>
      <c r="B29" s="63" t="n">
        <f aca="false">Assumptions!C44</f>
        <v>30000</v>
      </c>
      <c r="C29" s="63" t="s">
        <v>178</v>
      </c>
      <c r="D29" s="63" t="s">
        <v>178</v>
      </c>
      <c r="E29" s="63" t="s">
        <v>178</v>
      </c>
      <c r="F29" s="63" t="s">
        <v>178</v>
      </c>
      <c r="G29" s="64" t="n">
        <f aca="false">SUM(B29:F29)</f>
        <v>30000</v>
      </c>
    </row>
    <row r="30" customFormat="false" ht="15.75" hidden="false" customHeight="true" outlineLevel="0" collapsed="false">
      <c r="A30" s="13" t="s">
        <v>198</v>
      </c>
      <c r="B30" s="65" t="n">
        <f aca="false">B29</f>
        <v>30000</v>
      </c>
      <c r="C30" s="65" t="s">
        <v>178</v>
      </c>
      <c r="D30" s="65" t="s">
        <v>178</v>
      </c>
      <c r="E30" s="65" t="s">
        <v>178</v>
      </c>
      <c r="F30" s="65" t="s">
        <v>178</v>
      </c>
      <c r="G30" s="66" t="n">
        <f aca="false">SUM(B30:F30)</f>
        <v>30000</v>
      </c>
    </row>
    <row r="31" customFormat="false" ht="18" hidden="false" customHeight="true" outlineLevel="0" collapsed="false">
      <c r="A31" s="61" t="s">
        <v>199</v>
      </c>
      <c r="B31" s="61"/>
      <c r="C31" s="61"/>
      <c r="D31" s="61"/>
      <c r="E31" s="61"/>
      <c r="F31" s="61"/>
      <c r="G31" s="61"/>
    </row>
    <row r="32" customFormat="false" ht="15.75" hidden="false" customHeight="true" outlineLevel="0" collapsed="false">
      <c r="A32" s="62" t="s">
        <v>200</v>
      </c>
      <c r="B32" s="63" t="n">
        <f aca="false">Assumptions!C45</f>
        <v>20000</v>
      </c>
      <c r="C32" s="63" t="s">
        <v>178</v>
      </c>
      <c r="D32" s="63" t="s">
        <v>178</v>
      </c>
      <c r="E32" s="63" t="s">
        <v>178</v>
      </c>
      <c r="F32" s="63" t="s">
        <v>178</v>
      </c>
      <c r="G32" s="64" t="n">
        <f aca="false">SUM(B32:F32)</f>
        <v>20000</v>
      </c>
    </row>
    <row r="33" customFormat="false" ht="15.75" hidden="false" customHeight="true" outlineLevel="0" collapsed="false">
      <c r="A33" s="67" t="s">
        <v>201</v>
      </c>
      <c r="B33" s="65" t="s">
        <v>178</v>
      </c>
      <c r="C33" s="65" t="n">
        <f aca="false">Assumptions!C46</f>
        <v>5000</v>
      </c>
      <c r="D33" s="65" t="n">
        <f aca="false">Assumptions!C46</f>
        <v>5000</v>
      </c>
      <c r="E33" s="65" t="n">
        <f aca="false">Assumptions!C46</f>
        <v>5000</v>
      </c>
      <c r="F33" s="65" t="n">
        <f aca="false">Assumptions!C46</f>
        <v>5000</v>
      </c>
      <c r="G33" s="66" t="n">
        <f aca="false">SUM(B33:F33)</f>
        <v>20000</v>
      </c>
    </row>
    <row r="34" customFormat="false" ht="15.75" hidden="false" customHeight="true" outlineLevel="0" collapsed="false">
      <c r="A34" s="13" t="s">
        <v>202</v>
      </c>
      <c r="B34" s="65" t="n">
        <f aca="false">SUM(B32:B33)</f>
        <v>20000</v>
      </c>
      <c r="C34" s="65" t="n">
        <f aca="false">SUM(C32:C33)</f>
        <v>5000</v>
      </c>
      <c r="D34" s="65" t="n">
        <f aca="false">SUM(D32:D33)</f>
        <v>5000</v>
      </c>
      <c r="E34" s="65" t="n">
        <f aca="false">SUM(E32:E33)</f>
        <v>5000</v>
      </c>
      <c r="F34" s="65" t="n">
        <f aca="false">SUM(F32:F33)</f>
        <v>5000</v>
      </c>
      <c r="G34" s="66" t="n">
        <f aca="false">SUM(B34:F34)</f>
        <v>40000</v>
      </c>
    </row>
    <row r="35" customFormat="false" ht="18" hidden="false" customHeight="true" outlineLevel="0" collapsed="false">
      <c r="A35" s="61" t="s">
        <v>203</v>
      </c>
      <c r="B35" s="61"/>
      <c r="C35" s="61"/>
      <c r="D35" s="61"/>
      <c r="E35" s="61"/>
      <c r="F35" s="61"/>
      <c r="G35" s="61"/>
    </row>
    <row r="36" customFormat="false" ht="15.75" hidden="false" customHeight="true" outlineLevel="0" collapsed="false">
      <c r="A36" s="62" t="s">
        <v>215</v>
      </c>
      <c r="B36" s="63" t="n">
        <f aca="false">Assumptions!C51</f>
        <v>45000</v>
      </c>
      <c r="C36" s="63" t="s">
        <v>178</v>
      </c>
      <c r="D36" s="63" t="n">
        <f aca="false">Assumptions!C52</f>
        <v>25000</v>
      </c>
      <c r="E36" s="63" t="s">
        <v>178</v>
      </c>
      <c r="F36" s="63" t="s">
        <v>178</v>
      </c>
      <c r="G36" s="64" t="n">
        <f aca="false">SUM(B36:F36)</f>
        <v>70000</v>
      </c>
    </row>
    <row r="37" customFormat="false" ht="15.75" hidden="false" customHeight="true" outlineLevel="0" collapsed="false">
      <c r="A37" s="67" t="s">
        <v>216</v>
      </c>
      <c r="B37" s="65" t="n">
        <f aca="false">Assumptions!C53*(1+Assumptions!C10)^0</f>
        <v>12000</v>
      </c>
      <c r="C37" s="65" t="n">
        <f aca="false">Assumptions!C53*(1+Assumptions!C10)^1</f>
        <v>12360</v>
      </c>
      <c r="D37" s="65" t="n">
        <f aca="false">Assumptions!C53*(1+Assumptions!C10)^2</f>
        <v>12730.8</v>
      </c>
      <c r="E37" s="65" t="n">
        <f aca="false">Assumptions!C53*(1+Assumptions!C10)^3</f>
        <v>13112.724</v>
      </c>
      <c r="F37" s="65" t="n">
        <f aca="false">Assumptions!C53*(1+Assumptions!C10)^4</f>
        <v>13506.10572</v>
      </c>
      <c r="G37" s="66" t="n">
        <f aca="false">SUM(B37:F37)</f>
        <v>63709.62972</v>
      </c>
    </row>
    <row r="38" customFormat="false" ht="15.75" hidden="false" customHeight="true" outlineLevel="0" collapsed="false">
      <c r="A38" s="62" t="s">
        <v>217</v>
      </c>
      <c r="B38" s="63" t="s">
        <v>178</v>
      </c>
      <c r="C38" s="63" t="n">
        <f aca="false">Assumptions!C54*(1+Assumptions!C10)^1</f>
        <v>8240</v>
      </c>
      <c r="D38" s="63" t="n">
        <f aca="false">Assumptions!C54*(1+Assumptions!C10)^2</f>
        <v>8487.2</v>
      </c>
      <c r="E38" s="63" t="n">
        <f aca="false">Assumptions!C54*(1+Assumptions!C10)^3</f>
        <v>8741.816</v>
      </c>
      <c r="F38" s="63" t="n">
        <f aca="false">Assumptions!C54*(1+Assumptions!C10)^4</f>
        <v>9004.07048</v>
      </c>
      <c r="G38" s="64" t="n">
        <f aca="false">SUM(B38:F38)</f>
        <v>34473.08648</v>
      </c>
    </row>
    <row r="39" customFormat="false" ht="15.75" hidden="false" customHeight="true" outlineLevel="0" collapsed="false">
      <c r="A39" s="67" t="s">
        <v>205</v>
      </c>
      <c r="B39" s="65" t="n">
        <f aca="false">Assumptions!C55*(1+Assumptions!C10)^0</f>
        <v>4000</v>
      </c>
      <c r="C39" s="65" t="n">
        <f aca="false">Assumptions!C55*(1+Assumptions!C10)^1</f>
        <v>4120</v>
      </c>
      <c r="D39" s="65" t="n">
        <f aca="false">Assumptions!C55*(1+Assumptions!C10)^2</f>
        <v>4243.6</v>
      </c>
      <c r="E39" s="65" t="n">
        <f aca="false">Assumptions!C55*(1+Assumptions!C10)^3</f>
        <v>4370.908</v>
      </c>
      <c r="F39" s="65" t="n">
        <f aca="false">Assumptions!C55*(1+Assumptions!C10)^4</f>
        <v>4502.03524</v>
      </c>
      <c r="G39" s="66" t="n">
        <f aca="false">SUM(B39:F39)</f>
        <v>21236.54324</v>
      </c>
    </row>
    <row r="40" customFormat="false" ht="15.75" hidden="false" customHeight="true" outlineLevel="0" collapsed="false">
      <c r="A40" s="13" t="s">
        <v>206</v>
      </c>
      <c r="B40" s="65" t="n">
        <f aca="false">SUM(B37:B39)</f>
        <v>16000</v>
      </c>
      <c r="C40" s="65" t="n">
        <f aca="false">SUM(C37:C39)</f>
        <v>24720</v>
      </c>
      <c r="D40" s="65" t="n">
        <f aca="false">SUM(D37:D39)</f>
        <v>25461.6</v>
      </c>
      <c r="E40" s="65" t="n">
        <f aca="false">SUM(E37:E39)</f>
        <v>26225.448</v>
      </c>
      <c r="F40" s="65" t="n">
        <f aca="false">SUM(F37:F39)</f>
        <v>27012.21144</v>
      </c>
      <c r="G40" s="66" t="n">
        <f aca="false">SUM(B40:F40)</f>
        <v>119419.25944</v>
      </c>
    </row>
    <row r="41" customFormat="false" ht="21.75" hidden="false" customHeight="true" outlineLevel="0" collapsed="false">
      <c r="A41" s="68" t="s">
        <v>207</v>
      </c>
      <c r="B41" s="68"/>
      <c r="C41" s="68"/>
      <c r="D41" s="68"/>
      <c r="E41" s="68"/>
      <c r="F41" s="68"/>
      <c r="G41" s="68"/>
    </row>
    <row r="42" customFormat="false" ht="21.75" hidden="false" customHeight="true" outlineLevel="0" collapsed="false">
      <c r="B42" s="69" t="n">
        <f aca="false">B8+B11+B15+B19+B23+B27+B30+B34+B40</f>
        <v>690500</v>
      </c>
      <c r="C42" s="69" t="n">
        <f aca="false">C8+C11+C15+C19+C23+C27+C30+C34+C40</f>
        <v>368950</v>
      </c>
      <c r="D42" s="69" t="n">
        <f aca="false">D8+D11+D15+D19+D23+D27+D30+D34+D40</f>
        <v>255832.25</v>
      </c>
      <c r="E42" s="69" t="n">
        <f aca="false">E8+E11+E15+E19+E23+E27+E30+E34+E40</f>
        <v>262277.2175</v>
      </c>
      <c r="F42" s="69" t="n">
        <f aca="false">F8+F11+F15+F19+F23+F27+F30+F34+F40</f>
        <v>268915.534025</v>
      </c>
      <c r="G42" s="70" t="n">
        <f aca="false">G8+G11+G15+G19+G23+G27+G30+G34+G40</f>
        <v>1846475.001525</v>
      </c>
    </row>
    <row r="43" customFormat="false" ht="18" hidden="false" customHeight="true" outlineLevel="0" collapsed="false">
      <c r="A43" s="61" t="s">
        <v>208</v>
      </c>
      <c r="B43" s="61"/>
      <c r="C43" s="61"/>
      <c r="D43" s="61"/>
      <c r="E43" s="61"/>
      <c r="F43" s="61"/>
      <c r="G43" s="61"/>
    </row>
    <row r="44" customFormat="false" ht="15.75" hidden="false" customHeight="true" outlineLevel="0" collapsed="false">
      <c r="A44" s="7" t="s">
        <v>209</v>
      </c>
      <c r="B44" s="71" t="n">
        <f aca="false">B42/(1+Assumptions!C9)^1+C42/(1+Assumptions!C9)^2+D42/(1+Assumptions!C9)^3+E42/(1+Assumptions!C9)^4+F42/(1+Assumptions!C9)^5</f>
        <v>1470969.4418383</v>
      </c>
      <c r="C44" s="71"/>
      <c r="D44" s="71"/>
      <c r="E44" s="71"/>
      <c r="F44" s="71"/>
      <c r="G44" s="72" t="n">
        <f aca="false">B42/(1+Assumptions!C9)^1+C42/(1+Assumptions!C9)^2+D42/(1+Assumptions!C9)^3+E42/(1+Assumptions!C9)^4+F42/(1+Assumptions!C9)^5</f>
        <v>1470969.4418383</v>
      </c>
    </row>
    <row r="45" customFormat="false" ht="15.75" hidden="false" customHeight="true" outlineLevel="0" collapsed="false">
      <c r="A45" s="52" t="s">
        <v>210</v>
      </c>
      <c r="B45" s="73" t="n">
        <f aca="false">G42/(Assumptions!C6*5)</f>
        <v>4923.9333374</v>
      </c>
      <c r="C45" s="73"/>
      <c r="D45" s="73"/>
      <c r="E45" s="73"/>
      <c r="F45" s="73"/>
      <c r="G45" s="74"/>
    </row>
  </sheetData>
  <mergeCells count="16">
    <mergeCell ref="A1:G1"/>
    <mergeCell ref="A2:G2"/>
    <mergeCell ref="A3:G3"/>
    <mergeCell ref="A5:G5"/>
    <mergeCell ref="A9:G9"/>
    <mergeCell ref="A12:G12"/>
    <mergeCell ref="A16:G16"/>
    <mergeCell ref="A20:G20"/>
    <mergeCell ref="A24:G24"/>
    <mergeCell ref="A28:G28"/>
    <mergeCell ref="A31:G31"/>
    <mergeCell ref="A35:G35"/>
    <mergeCell ref="A41:G41"/>
    <mergeCell ref="A43:G43"/>
    <mergeCell ref="B44:F44"/>
    <mergeCell ref="B45:F4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8" min="2" style="1" width="14"/>
  </cols>
  <sheetData>
    <row r="1" customFormat="false" ht="30" hidden="false" customHeight="true" outlineLevel="0" collapsed="false">
      <c r="A1" s="78" t="s">
        <v>218</v>
      </c>
      <c r="B1" s="78"/>
      <c r="C1" s="78"/>
      <c r="D1" s="78"/>
      <c r="E1" s="78"/>
      <c r="F1" s="78"/>
      <c r="G1" s="78"/>
      <c r="H1" s="78"/>
    </row>
    <row r="2" customFormat="false" ht="15" hidden="false" customHeight="true" outlineLevel="0" collapsed="false">
      <c r="A2" s="46" t="s">
        <v>219</v>
      </c>
      <c r="B2" s="46"/>
      <c r="C2" s="46"/>
      <c r="D2" s="46"/>
      <c r="E2" s="46"/>
      <c r="F2" s="46"/>
      <c r="G2" s="46"/>
      <c r="H2" s="46"/>
    </row>
    <row r="4" customFormat="false" ht="18" hidden="false" customHeight="true" outlineLevel="0" collapsed="false">
      <c r="A4" s="76" t="s">
        <v>220</v>
      </c>
      <c r="B4" s="76"/>
      <c r="C4" s="76"/>
      <c r="D4" s="76"/>
      <c r="E4" s="79"/>
      <c r="F4" s="79"/>
      <c r="G4" s="79"/>
      <c r="H4" s="79"/>
    </row>
    <row r="5" customFormat="false" ht="27.75" hidden="false" customHeight="true" outlineLevel="0" collapsed="false">
      <c r="A5" s="47" t="s">
        <v>221</v>
      </c>
      <c r="B5" s="47" t="s">
        <v>222</v>
      </c>
      <c r="C5" s="47" t="s">
        <v>223</v>
      </c>
      <c r="D5" s="47" t="s">
        <v>224</v>
      </c>
      <c r="E5" s="48" t="s">
        <v>221</v>
      </c>
      <c r="F5" s="48" t="s">
        <v>225</v>
      </c>
      <c r="G5" s="48" t="s">
        <v>226</v>
      </c>
      <c r="H5" s="48" t="s">
        <v>227</v>
      </c>
    </row>
    <row r="6" customFormat="false" ht="15.75" hidden="false" customHeight="true" outlineLevel="0" collapsed="false">
      <c r="A6" s="80" t="s">
        <v>228</v>
      </c>
      <c r="B6" s="81" t="n">
        <f aca="false">Assumptions!B15*Assumptions!B6</f>
        <v>135000</v>
      </c>
      <c r="C6" s="81" t="n">
        <f aca="false">Assumptions!B15*Assumptions!B6*(1+Assumptions!B18)</f>
        <v>141750</v>
      </c>
      <c r="D6" s="82" t="s">
        <v>229</v>
      </c>
      <c r="E6" s="80" t="s">
        <v>230</v>
      </c>
      <c r="F6" s="81" t="n">
        <f aca="false">Assumptions!C16</f>
        <v>180000</v>
      </c>
      <c r="G6" s="81" t="n">
        <f aca="false">Assumptions!C16/5</f>
        <v>36000</v>
      </c>
      <c r="H6" s="81" t="n">
        <f aca="false">Assumptions!C16/5</f>
        <v>36000</v>
      </c>
    </row>
    <row r="7" customFormat="false" ht="15.75" hidden="false" customHeight="true" outlineLevel="0" collapsed="false">
      <c r="A7" s="83" t="s">
        <v>231</v>
      </c>
      <c r="B7" s="84" t="n">
        <f aca="false">Assumptions!B22*(1+Assumptions!B23)</f>
        <v>92000</v>
      </c>
      <c r="C7" s="85" t="s">
        <v>178</v>
      </c>
      <c r="D7" s="85" t="s">
        <v>178</v>
      </c>
      <c r="E7" s="83" t="s">
        <v>232</v>
      </c>
      <c r="F7" s="84" t="n">
        <f aca="false">Assumptions!C22*(1+Assumptions!C23)</f>
        <v>150000</v>
      </c>
      <c r="G7" s="84" t="n">
        <f aca="false">Assumptions!C22*(1+Assumptions!C23)*0.4</f>
        <v>60000</v>
      </c>
      <c r="H7" s="85" t="s">
        <v>178</v>
      </c>
    </row>
    <row r="8" customFormat="false" ht="15.75" hidden="false" customHeight="true" outlineLevel="0" collapsed="false">
      <c r="A8" s="80" t="s">
        <v>233</v>
      </c>
      <c r="B8" s="81" t="n">
        <f aca="false">Assumptions!B30*Assumptions!B31*MIN(Assumptions!B32,12)/12</f>
        <v>106875</v>
      </c>
      <c r="C8" s="82" t="s">
        <v>178</v>
      </c>
      <c r="D8" s="82" t="s">
        <v>178</v>
      </c>
      <c r="E8" s="80" t="s">
        <v>234</v>
      </c>
      <c r="F8" s="81" t="n">
        <f aca="false">Assumptions!C30*Assumptions!C31*Assumptions!C32/12*0.6</f>
        <v>178125</v>
      </c>
      <c r="G8" s="82" t="s">
        <v>178</v>
      </c>
      <c r="H8" s="82" t="s">
        <v>178</v>
      </c>
    </row>
    <row r="9" customFormat="false" ht="15.75" hidden="false" customHeight="true" outlineLevel="0" collapsed="false">
      <c r="A9" s="83" t="s">
        <v>235</v>
      </c>
      <c r="B9" s="84" t="n">
        <f aca="false">Assumptions!B38</f>
        <v>25000</v>
      </c>
      <c r="C9" s="84" t="n">
        <f aca="false">Assumptions!B39</f>
        <v>8000</v>
      </c>
      <c r="D9" s="84" t="n">
        <f aca="false">Assumptions!B39</f>
        <v>8000</v>
      </c>
      <c r="E9" s="83" t="s">
        <v>236</v>
      </c>
      <c r="F9" s="84" t="n">
        <f aca="false">Assumptions!C38*0.7</f>
        <v>42000</v>
      </c>
      <c r="G9" s="84" t="n">
        <f aca="false">Assumptions!C38*0.7/5</f>
        <v>8400</v>
      </c>
      <c r="H9" s="84" t="n">
        <f aca="false">Assumptions!C38*0.3</f>
        <v>18000</v>
      </c>
    </row>
    <row r="10" customFormat="false" ht="15.75" hidden="false" customHeight="true" outlineLevel="0" collapsed="false">
      <c r="A10" s="80" t="s">
        <v>237</v>
      </c>
      <c r="B10" s="81" t="n">
        <f aca="false">Assumptions!B40</f>
        <v>20000</v>
      </c>
      <c r="C10" s="81" t="n">
        <f aca="false">Assumptions!B41</f>
        <v>5000</v>
      </c>
      <c r="D10" s="81" t="n">
        <f aca="false">Assumptions!B41</f>
        <v>5000</v>
      </c>
      <c r="E10" s="80" t="s">
        <v>238</v>
      </c>
      <c r="F10" s="81" t="n">
        <f aca="false">Assumptions!C40*0.5</f>
        <v>17500</v>
      </c>
      <c r="G10" s="81" t="n">
        <f aca="false">Assumptions!C40*0.5/5</f>
        <v>3500</v>
      </c>
      <c r="H10" s="81" t="n">
        <f aca="false">Assumptions!C40*0.5</f>
        <v>17500</v>
      </c>
    </row>
    <row r="11" customFormat="false" ht="15.75" hidden="false" customHeight="true" outlineLevel="0" collapsed="false">
      <c r="A11" s="83" t="s">
        <v>239</v>
      </c>
      <c r="B11" s="84" t="n">
        <f aca="false">Assumptions!B42</f>
        <v>15000</v>
      </c>
      <c r="C11" s="84" t="n">
        <f aca="false">Assumptions!B43</f>
        <v>4000</v>
      </c>
      <c r="D11" s="84" t="n">
        <f aca="false">Assumptions!B43</f>
        <v>4000</v>
      </c>
      <c r="E11" s="83" t="s">
        <v>240</v>
      </c>
      <c r="F11" s="85" t="s">
        <v>178</v>
      </c>
      <c r="G11" s="85" t="s">
        <v>178</v>
      </c>
      <c r="H11" s="84" t="n">
        <f aca="false">Assumptions!C42</f>
        <v>22000</v>
      </c>
    </row>
    <row r="12" customFormat="false" ht="15.75" hidden="false" customHeight="true" outlineLevel="0" collapsed="false">
      <c r="A12" s="80" t="s">
        <v>241</v>
      </c>
      <c r="B12" s="81" t="n">
        <f aca="false">Assumptions!B44</f>
        <v>18000</v>
      </c>
      <c r="C12" s="82" t="s">
        <v>178</v>
      </c>
      <c r="D12" s="82" t="s">
        <v>178</v>
      </c>
      <c r="E12" s="80" t="s">
        <v>242</v>
      </c>
      <c r="F12" s="82" t="s">
        <v>178</v>
      </c>
      <c r="G12" s="82" t="s">
        <v>178</v>
      </c>
      <c r="H12" s="81" t="n">
        <f aca="false">Assumptions!C44</f>
        <v>30000</v>
      </c>
    </row>
    <row r="13" customFormat="false" ht="15.75" hidden="false" customHeight="true" outlineLevel="0" collapsed="false">
      <c r="A13" s="83" t="s">
        <v>243</v>
      </c>
      <c r="B13" s="84" t="n">
        <f aca="false">Assumptions!B45</f>
        <v>12000</v>
      </c>
      <c r="C13" s="84" t="n">
        <f aca="false">Assumptions!B46</f>
        <v>3000</v>
      </c>
      <c r="D13" s="84" t="n">
        <f aca="false">Assumptions!B46</f>
        <v>3000</v>
      </c>
      <c r="E13" s="83" t="s">
        <v>243</v>
      </c>
      <c r="F13" s="85" t="s">
        <v>178</v>
      </c>
      <c r="G13" s="85" t="s">
        <v>178</v>
      </c>
      <c r="H13" s="84" t="n">
        <f aca="false">Assumptions!C45</f>
        <v>20000</v>
      </c>
    </row>
    <row r="14" customFormat="false" ht="15.75" hidden="false" customHeight="true" outlineLevel="0" collapsed="false">
      <c r="A14" s="80" t="s">
        <v>244</v>
      </c>
      <c r="B14" s="81" t="n">
        <f aca="false">Assumptions!B55</f>
        <v>6000</v>
      </c>
      <c r="C14" s="81" t="n">
        <f aca="false">Assumptions!B55*(1+Assumptions!B10)</f>
        <v>6180</v>
      </c>
      <c r="D14" s="82" t="s">
        <v>229</v>
      </c>
      <c r="E14" s="80" t="s">
        <v>245</v>
      </c>
      <c r="F14" s="82" t="s">
        <v>178</v>
      </c>
      <c r="G14" s="81" t="n">
        <f aca="false">Assumptions!C16*Assumptions!C17</f>
        <v>36000</v>
      </c>
      <c r="H14" s="82" t="s">
        <v>229</v>
      </c>
    </row>
    <row r="17" customFormat="false" ht="18" hidden="false" customHeight="true" outlineLevel="0" collapsed="false">
      <c r="A17" s="4" t="s">
        <v>246</v>
      </c>
      <c r="B17" s="4"/>
      <c r="C17" s="4"/>
      <c r="D17" s="4"/>
      <c r="E17" s="4"/>
      <c r="F17" s="4"/>
      <c r="G17" s="4"/>
      <c r="H17" s="4"/>
    </row>
    <row r="18" customFormat="false" ht="39.75" hidden="false" customHeight="true" outlineLevel="0" collapsed="false">
      <c r="A18" s="86" t="s">
        <v>247</v>
      </c>
      <c r="B18" s="86"/>
      <c r="C18" s="87" t="s">
        <v>248</v>
      </c>
      <c r="D18" s="87"/>
      <c r="E18" s="87"/>
      <c r="F18" s="87"/>
      <c r="G18" s="87"/>
      <c r="H18" s="87"/>
    </row>
    <row r="19" customFormat="false" ht="39.75" hidden="false" customHeight="true" outlineLevel="0" collapsed="false">
      <c r="A19" s="86" t="s">
        <v>249</v>
      </c>
      <c r="B19" s="86"/>
      <c r="C19" s="87" t="s">
        <v>250</v>
      </c>
      <c r="D19" s="87"/>
      <c r="E19" s="87"/>
      <c r="F19" s="87"/>
      <c r="G19" s="87"/>
      <c r="H19" s="87"/>
    </row>
    <row r="20" customFormat="false" ht="39.75" hidden="false" customHeight="true" outlineLevel="0" collapsed="false">
      <c r="A20" s="86" t="s">
        <v>251</v>
      </c>
      <c r="B20" s="86"/>
      <c r="C20" s="87" t="s">
        <v>252</v>
      </c>
      <c r="D20" s="87"/>
      <c r="E20" s="87"/>
      <c r="F20" s="87"/>
      <c r="G20" s="87"/>
      <c r="H20" s="87"/>
    </row>
  </sheetData>
  <mergeCells count="11">
    <mergeCell ref="A1:H1"/>
    <mergeCell ref="A2:H2"/>
    <mergeCell ref="A4:D4"/>
    <mergeCell ref="E4:H4"/>
    <mergeCell ref="A17:H17"/>
    <mergeCell ref="A18:B18"/>
    <mergeCell ref="C18:H18"/>
    <mergeCell ref="A19:B19"/>
    <mergeCell ref="C19:H19"/>
    <mergeCell ref="A20:B20"/>
    <mergeCell ref="C20:H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9" min="2" style="1" width="13"/>
  </cols>
  <sheetData>
    <row r="1" customFormat="false" ht="30" hidden="false" customHeight="true" outlineLevel="0" collapsed="false">
      <c r="A1" s="88" t="s">
        <v>253</v>
      </c>
      <c r="B1" s="88"/>
      <c r="C1" s="88"/>
      <c r="D1" s="88"/>
      <c r="E1" s="88"/>
      <c r="F1" s="88"/>
      <c r="G1" s="88"/>
      <c r="H1" s="88"/>
      <c r="I1" s="88"/>
    </row>
    <row r="2" customFormat="false" ht="15" hidden="false" customHeight="true" outlineLevel="0" collapsed="false">
      <c r="A2" s="46" t="s">
        <v>254</v>
      </c>
      <c r="B2" s="46"/>
      <c r="C2" s="46"/>
      <c r="D2" s="46"/>
      <c r="E2" s="46"/>
      <c r="F2" s="46"/>
      <c r="G2" s="46"/>
      <c r="H2" s="46"/>
      <c r="I2" s="46"/>
    </row>
    <row r="4" customFormat="false" ht="18" hidden="false" customHeight="true" outlineLevel="0" collapsed="false">
      <c r="A4" s="39" t="s">
        <v>255</v>
      </c>
      <c r="B4" s="39"/>
      <c r="C4" s="39"/>
      <c r="D4" s="39"/>
      <c r="E4" s="39"/>
      <c r="F4" s="39"/>
      <c r="G4" s="39"/>
      <c r="H4" s="39"/>
      <c r="I4" s="39"/>
    </row>
    <row r="5" customFormat="false" ht="27.75" hidden="false" customHeight="true" outlineLevel="0" collapsed="false">
      <c r="A5" s="5" t="s">
        <v>150</v>
      </c>
      <c r="B5" s="6" t="s">
        <v>99</v>
      </c>
      <c r="C5" s="6" t="s">
        <v>256</v>
      </c>
      <c r="D5" s="6" t="s">
        <v>257</v>
      </c>
      <c r="E5" s="6" t="s">
        <v>258</v>
      </c>
      <c r="F5" s="6" t="s">
        <v>259</v>
      </c>
      <c r="G5" s="6" t="s">
        <v>172</v>
      </c>
      <c r="H5" s="6" t="s">
        <v>260</v>
      </c>
      <c r="I5" s="6" t="s">
        <v>8</v>
      </c>
    </row>
    <row r="6" customFormat="false" ht="15.75" hidden="false" customHeight="true" outlineLevel="0" collapsed="false">
      <c r="A6" s="62" t="s">
        <v>261</v>
      </c>
      <c r="B6" s="63" t="s">
        <v>178</v>
      </c>
      <c r="C6" s="63" t="n">
        <f aca="false">Assumptions!B59*Assumptions!B65</f>
        <v>17500</v>
      </c>
      <c r="D6" s="63" t="n">
        <f aca="false">Assumptions!B59*(1+Assumptions!B66)^1</f>
        <v>36050</v>
      </c>
      <c r="E6" s="63" t="n">
        <f aca="false">Assumptions!B59*(1+Assumptions!B66)^2</f>
        <v>37131.5</v>
      </c>
      <c r="F6" s="63" t="n">
        <f aca="false">Assumptions!B59*(1+Assumptions!B66)^3</f>
        <v>38245.445</v>
      </c>
      <c r="G6" s="89" t="n">
        <f aca="false">SUM(B6:F6)</f>
        <v>128926.945</v>
      </c>
      <c r="H6" s="89" t="n">
        <f aca="false">B6/(1+Assumptions!B9)^1+C6/(1+Assumptions!B9)^2+D6/(1+Assumptions!B9)^3+E6/(1+Assumptions!B9)^4+F6/(1+Assumptions!B9)^5</f>
        <v>90656.4349181315</v>
      </c>
      <c r="I6" s="90" t="s">
        <v>262</v>
      </c>
    </row>
    <row r="7" customFormat="false" ht="15.75" hidden="false" customHeight="true" outlineLevel="0" collapsed="false">
      <c r="A7" s="67" t="s">
        <v>263</v>
      </c>
      <c r="B7" s="65" t="s">
        <v>178</v>
      </c>
      <c r="C7" s="65" t="n">
        <f aca="false">Assumptions!B60*Assumptions!B65</f>
        <v>6000</v>
      </c>
      <c r="D7" s="65" t="n">
        <f aca="false">Assumptions!B60*(1+Assumptions!B66)^1</f>
        <v>12360</v>
      </c>
      <c r="E7" s="65" t="n">
        <f aca="false">Assumptions!B60*(1+Assumptions!B66)^2</f>
        <v>12730.8</v>
      </c>
      <c r="F7" s="65" t="n">
        <f aca="false">Assumptions!B60*(1+Assumptions!B66)^3</f>
        <v>13112.724</v>
      </c>
      <c r="G7" s="91" t="n">
        <f aca="false">SUM(B7:F7)</f>
        <v>44203.524</v>
      </c>
      <c r="H7" s="91" t="n">
        <f aca="false">B7/(1+Assumptions!B9)^1+C7/(1+Assumptions!B9)^2+D7/(1+Assumptions!B9)^3+E7/(1+Assumptions!B9)^4+F7/(1+Assumptions!B9)^5</f>
        <v>31082.2062576451</v>
      </c>
      <c r="I7" s="90" t="s">
        <v>262</v>
      </c>
    </row>
    <row r="8" customFormat="false" ht="15.75" hidden="false" customHeight="true" outlineLevel="0" collapsed="false">
      <c r="A8" s="62" t="s">
        <v>264</v>
      </c>
      <c r="B8" s="63" t="s">
        <v>178</v>
      </c>
      <c r="C8" s="63" t="n">
        <f aca="false">Assumptions!B61*Assumptions!B65</f>
        <v>22500</v>
      </c>
      <c r="D8" s="63" t="n">
        <f aca="false">Assumptions!B61*(1+Assumptions!B66)^1</f>
        <v>46350</v>
      </c>
      <c r="E8" s="63" t="n">
        <f aca="false">Assumptions!B61*(1+Assumptions!B66)^2</f>
        <v>47740.5</v>
      </c>
      <c r="F8" s="63" t="n">
        <f aca="false">Assumptions!B61*(1+Assumptions!B66)^3</f>
        <v>49172.715</v>
      </c>
      <c r="G8" s="89" t="n">
        <f aca="false">SUM(B8:F8)</f>
        <v>165763.215</v>
      </c>
      <c r="H8" s="89" t="n">
        <f aca="false">B8/(1+Assumptions!B9)^1+C8/(1+Assumptions!B9)^2+D8/(1+Assumptions!B9)^3+E8/(1+Assumptions!B9)^4+F8/(1+Assumptions!B9)^5</f>
        <v>116558.273466169</v>
      </c>
      <c r="I8" s="90" t="s">
        <v>262</v>
      </c>
    </row>
    <row r="9" customFormat="false" ht="15.75" hidden="false" customHeight="true" outlineLevel="0" collapsed="false">
      <c r="A9" s="67" t="s">
        <v>265</v>
      </c>
      <c r="B9" s="65" t="s">
        <v>178</v>
      </c>
      <c r="C9" s="65" t="n">
        <f aca="false">Assumptions!B62*Assumptions!B65</f>
        <v>4000</v>
      </c>
      <c r="D9" s="65" t="n">
        <f aca="false">Assumptions!B62*(1+Assumptions!B66)^1</f>
        <v>8240</v>
      </c>
      <c r="E9" s="65" t="n">
        <f aca="false">Assumptions!B62*(1+Assumptions!B66)^2</f>
        <v>8487.2</v>
      </c>
      <c r="F9" s="65" t="n">
        <f aca="false">Assumptions!B62*(1+Assumptions!B66)^3</f>
        <v>8741.816</v>
      </c>
      <c r="G9" s="91" t="n">
        <f aca="false">SUM(B9:F9)</f>
        <v>29469.016</v>
      </c>
      <c r="H9" s="91" t="n">
        <f aca="false">B9/(1+Assumptions!B9)^1+C9/(1+Assumptions!B9)^2+D9/(1+Assumptions!B9)^3+E9/(1+Assumptions!B9)^4+F9/(1+Assumptions!B9)^5</f>
        <v>20721.4708384301</v>
      </c>
      <c r="I9" s="90" t="s">
        <v>262</v>
      </c>
    </row>
    <row r="10" customFormat="false" ht="15.75" hidden="false" customHeight="true" outlineLevel="0" collapsed="false">
      <c r="A10" s="62" t="s">
        <v>266</v>
      </c>
      <c r="B10" s="63" t="s">
        <v>178</v>
      </c>
      <c r="C10" s="63" t="s">
        <v>178</v>
      </c>
      <c r="D10" s="63" t="n">
        <f aca="false">Assumptions!B63*Assumptions!B65</f>
        <v>7500</v>
      </c>
      <c r="E10" s="63" t="n">
        <f aca="false">Assumptions!B63*(1+Assumptions!B66)^1</f>
        <v>15450</v>
      </c>
      <c r="F10" s="63" t="n">
        <f aca="false">Assumptions!B63*(1+Assumptions!B66)^2</f>
        <v>15913.5</v>
      </c>
      <c r="G10" s="89" t="n">
        <f aca="false">SUM(B10:F10)</f>
        <v>38863.5</v>
      </c>
      <c r="H10" s="89" t="n">
        <f aca="false">B10/(1+Assumptions!B9)^1+C10/(1+Assumptions!B9)^2+D10/(1+Assumptions!B9)^3+E10/(1+Assumptions!B9)^4+F10/(1+Assumptions!B9)^5</f>
        <v>26068.450366654</v>
      </c>
      <c r="I10" s="90" t="s">
        <v>267</v>
      </c>
    </row>
    <row r="11" customFormat="false" ht="15.75" hidden="false" customHeight="true" outlineLevel="0" collapsed="false">
      <c r="A11" s="67" t="s">
        <v>268</v>
      </c>
      <c r="B11" s="65" t="s">
        <v>178</v>
      </c>
      <c r="C11" s="65" t="n">
        <f aca="false">Assumptions!B64*Assumptions!B65</f>
        <v>5000</v>
      </c>
      <c r="D11" s="65" t="n">
        <f aca="false">Assumptions!B64*(1+Assumptions!B66)^1</f>
        <v>10300</v>
      </c>
      <c r="E11" s="65" t="n">
        <f aca="false">Assumptions!B64*(1+Assumptions!B66)^2</f>
        <v>10609</v>
      </c>
      <c r="F11" s="65" t="n">
        <f aca="false">Assumptions!B64*(1+Assumptions!B66)^3</f>
        <v>10927.27</v>
      </c>
      <c r="G11" s="91" t="n">
        <f aca="false">SUM(B11:F11)</f>
        <v>36836.27</v>
      </c>
      <c r="H11" s="91" t="n">
        <f aca="false">B11/(1+Assumptions!B9)^1+C11/(1+Assumptions!B9)^2+D11/(1+Assumptions!B9)^3+E11/(1+Assumptions!B9)^4+F11/(1+Assumptions!B9)^5</f>
        <v>25901.8385480376</v>
      </c>
      <c r="I11" s="90" t="s">
        <v>262</v>
      </c>
    </row>
    <row r="12" customFormat="false" ht="18" hidden="false" customHeight="true" outlineLevel="0" collapsed="false">
      <c r="A12" s="39" t="s">
        <v>269</v>
      </c>
      <c r="B12" s="39"/>
      <c r="C12" s="39"/>
      <c r="D12" s="39"/>
      <c r="E12" s="39"/>
      <c r="F12" s="39"/>
      <c r="G12" s="39"/>
      <c r="H12" s="39"/>
      <c r="I12" s="39"/>
    </row>
    <row r="13" customFormat="false" ht="15.75" hidden="false" customHeight="true" outlineLevel="0" collapsed="false">
      <c r="A13" s="92" t="s">
        <v>270</v>
      </c>
      <c r="B13" s="93" t="n">
        <f aca="false">SUM(B6:B11)</f>
        <v>0</v>
      </c>
      <c r="C13" s="93" t="n">
        <f aca="false">SUM(C6:C11)</f>
        <v>55000</v>
      </c>
      <c r="D13" s="93" t="n">
        <f aca="false">SUM(D6:D11)</f>
        <v>120800</v>
      </c>
      <c r="E13" s="93" t="n">
        <f aca="false">SUM(E6:E11)</f>
        <v>132149</v>
      </c>
      <c r="F13" s="93" t="n">
        <f aca="false">SUM(F6:F11)</f>
        <v>136113.47</v>
      </c>
      <c r="G13" s="93" t="n">
        <f aca="false">SUM(G6:G11)</f>
        <v>444062.47</v>
      </c>
      <c r="H13" s="93" t="n">
        <f aca="false">SUM(H6:H11)</f>
        <v>310988.674395067</v>
      </c>
    </row>
    <row r="15" customFormat="false" ht="18" hidden="false" customHeight="true" outlineLevel="0" collapsed="false">
      <c r="A15" s="4" t="s">
        <v>271</v>
      </c>
      <c r="B15" s="4"/>
      <c r="C15" s="4"/>
      <c r="D15" s="4"/>
      <c r="E15" s="4"/>
      <c r="F15" s="4"/>
      <c r="G15" s="4"/>
      <c r="H15" s="4"/>
      <c r="I15" s="4"/>
    </row>
    <row r="16" customFormat="false" ht="27.75" hidden="false" customHeight="true" outlineLevel="0" collapsed="false">
      <c r="A16" s="6" t="s">
        <v>3</v>
      </c>
      <c r="B16" s="6" t="s">
        <v>4</v>
      </c>
      <c r="C16" s="6" t="s">
        <v>5</v>
      </c>
      <c r="D16" s="6" t="s">
        <v>272</v>
      </c>
    </row>
    <row r="17" customFormat="false" ht="15.75" hidden="false" customHeight="true" outlineLevel="0" collapsed="false">
      <c r="A17" s="49" t="s">
        <v>9</v>
      </c>
      <c r="B17" s="94" t="n">
        <f aca="false">Cloud_TCO!G39</f>
        <v>1280413.765835</v>
      </c>
      <c r="C17" s="95" t="n">
        <f aca="false">OnPrem_TCO!G42</f>
        <v>1846475.001525</v>
      </c>
      <c r="D17" s="63" t="n">
        <f aca="false">B17-C17</f>
        <v>-566061.23569</v>
      </c>
    </row>
    <row r="18" customFormat="false" ht="15.75" hidden="false" customHeight="true" outlineLevel="0" collapsed="false">
      <c r="A18" s="52" t="s">
        <v>273</v>
      </c>
      <c r="B18" s="96" t="n">
        <f aca="false">Cloud_TCO!G41</f>
        <v>1002961.05537066</v>
      </c>
      <c r="C18" s="97" t="n">
        <f aca="false">OnPrem_TCO!G44</f>
        <v>1470969.4418383</v>
      </c>
      <c r="D18" s="65" t="n">
        <f aca="false">B18-C18</f>
        <v>-468008.386467641</v>
      </c>
    </row>
    <row r="19" customFormat="false" ht="15.75" hidden="false" customHeight="true" outlineLevel="0" collapsed="false">
      <c r="A19" s="49" t="s">
        <v>274</v>
      </c>
      <c r="B19" s="94" t="n">
        <f aca="false">G13</f>
        <v>444062.47</v>
      </c>
      <c r="C19" s="95" t="n">
        <f aca="false">G13</f>
        <v>444062.47</v>
      </c>
      <c r="D19" s="63" t="s">
        <v>178</v>
      </c>
    </row>
    <row r="20" customFormat="false" ht="15.75" hidden="false" customHeight="true" outlineLevel="0" collapsed="false">
      <c r="A20" s="52" t="s">
        <v>275</v>
      </c>
      <c r="B20" s="96" t="n">
        <f aca="false">H13</f>
        <v>310988.674395067</v>
      </c>
      <c r="C20" s="97" t="n">
        <f aca="false">H13</f>
        <v>310988.674395067</v>
      </c>
      <c r="D20" s="65" t="s">
        <v>178</v>
      </c>
    </row>
    <row r="21" customFormat="false" ht="15.75" hidden="false" customHeight="true" outlineLevel="0" collapsed="false">
      <c r="A21" s="7" t="s">
        <v>276</v>
      </c>
      <c r="B21" s="98" t="n">
        <f aca="false">H13-Cloud_TCO!G41</f>
        <v>-691972.380975592</v>
      </c>
      <c r="C21" s="99" t="n">
        <f aca="false">H13-OnPrem_TCO!G44</f>
        <v>-1159980.76744323</v>
      </c>
      <c r="D21" s="100" t="n">
        <f aca="false">B21-C21</f>
        <v>468008.386467641</v>
      </c>
    </row>
    <row r="22" customFormat="false" ht="15.75" hidden="false" customHeight="true" outlineLevel="0" collapsed="false">
      <c r="A22" s="13" t="s">
        <v>277</v>
      </c>
      <c r="B22" s="101" t="n">
        <f aca="false">IFERROR(G13/Cloud_TCO!G39,0)</f>
        <v>0.346811696225721</v>
      </c>
      <c r="C22" s="102" t="n">
        <f aca="false">IFERROR(G13/OnPrem_TCO!G42,0)</f>
        <v>0.24049200213014</v>
      </c>
      <c r="D22" s="103" t="n">
        <f aca="false">IFERROR(B22-C22,0)</f>
        <v>0.106319694095582</v>
      </c>
    </row>
    <row r="23" customFormat="false" ht="15.75" hidden="false" customHeight="true" outlineLevel="0" collapsed="false">
      <c r="A23" s="7" t="s">
        <v>278</v>
      </c>
      <c r="B23" s="104" t="n">
        <f aca="false">IFERROR((Benefits_ROI!H13/Cloud_TCO!G39)^(1/5)-1,"n/a")</f>
        <v>-0.246507649474908</v>
      </c>
      <c r="C23" s="105" t="n">
        <f aca="false">IFERROR((Benefits_ROI!H13/OnPrem_TCO!G42)^(1/5)-1,"n/a")</f>
        <v>-0.299706285796723</v>
      </c>
      <c r="D23" s="106" t="s">
        <v>279</v>
      </c>
    </row>
    <row r="24" customFormat="false" ht="15.75" hidden="false" customHeight="true" outlineLevel="0" collapsed="false">
      <c r="A24" s="13" t="s">
        <v>280</v>
      </c>
      <c r="B24" s="107" t="n">
        <f aca="false">IFERROR(Cloud_TCO!G41/IFERROR(H13/5,1),"n/a")</f>
        <v>16.1253630429084</v>
      </c>
      <c r="C24" s="108" t="n">
        <f aca="false">IFERROR(OnPrem_TCO!G44/IFERROR(H13/5,1),"n/a")</f>
        <v>23.6498876478318</v>
      </c>
      <c r="D24" s="109" t="s">
        <v>281</v>
      </c>
    </row>
  </sheetData>
  <mergeCells count="5">
    <mergeCell ref="A1:I1"/>
    <mergeCell ref="A2:I2"/>
    <mergeCell ref="A4:I4"/>
    <mergeCell ref="A12:I12"/>
    <mergeCell ref="A15:I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10" min="2" style="1" width="13"/>
  </cols>
  <sheetData>
    <row r="1" customFormat="false" ht="30" hidden="false" customHeight="true" outlineLevel="0" collapsed="false">
      <c r="A1" s="78" t="s">
        <v>282</v>
      </c>
      <c r="B1" s="78"/>
      <c r="C1" s="78"/>
      <c r="D1" s="78"/>
      <c r="E1" s="78"/>
      <c r="F1" s="78"/>
      <c r="G1" s="78"/>
      <c r="H1" s="78"/>
      <c r="I1" s="78"/>
      <c r="J1" s="78"/>
    </row>
    <row r="2" customFormat="false" ht="15" hidden="false" customHeight="true" outlineLevel="0" collapsed="false">
      <c r="A2" s="46" t="s">
        <v>283</v>
      </c>
      <c r="B2" s="46"/>
      <c r="C2" s="46"/>
      <c r="D2" s="46"/>
      <c r="E2" s="46"/>
      <c r="F2" s="46"/>
      <c r="G2" s="46"/>
      <c r="H2" s="46"/>
      <c r="I2" s="46"/>
      <c r="J2" s="46"/>
    </row>
    <row r="4" customFormat="false" ht="18" hidden="false" customHeight="true" outlineLevel="0" collapsed="false">
      <c r="A4" s="4" t="s">
        <v>284</v>
      </c>
      <c r="B4" s="4"/>
      <c r="C4" s="4"/>
      <c r="D4" s="4"/>
      <c r="E4" s="4"/>
      <c r="F4" s="4"/>
      <c r="G4" s="4"/>
      <c r="H4" s="4"/>
      <c r="I4" s="4"/>
      <c r="J4" s="4"/>
    </row>
    <row r="5" customFormat="false" ht="27.75" hidden="false" customHeight="true" outlineLevel="0" collapsed="false">
      <c r="A5" s="6" t="s">
        <v>285</v>
      </c>
      <c r="B5" s="6" t="s">
        <v>286</v>
      </c>
      <c r="C5" s="6" t="s">
        <v>287</v>
      </c>
      <c r="D5" s="6" t="s">
        <v>288</v>
      </c>
      <c r="E5" s="6" t="s">
        <v>289</v>
      </c>
      <c r="F5" s="6" t="s">
        <v>290</v>
      </c>
      <c r="G5" s="6" t="s">
        <v>291</v>
      </c>
      <c r="H5" s="6" t="s">
        <v>292</v>
      </c>
      <c r="I5" s="6" t="s">
        <v>293</v>
      </c>
      <c r="J5" s="6" t="s">
        <v>294</v>
      </c>
    </row>
    <row r="6" customFormat="false" ht="15.75" hidden="false" customHeight="true" outlineLevel="0" collapsed="false">
      <c r="A6" s="49" t="s">
        <v>295</v>
      </c>
      <c r="B6" s="53" t="n">
        <f aca="false">Assumptions!B6*0.8</f>
        <v>60</v>
      </c>
      <c r="C6" s="53" t="n">
        <f aca="false">Assumptions!B6</f>
        <v>75</v>
      </c>
      <c r="D6" s="53" t="n">
        <f aca="false">Assumptions!B6*1.2</f>
        <v>90</v>
      </c>
      <c r="E6" s="63" t="n">
        <f aca="false">Cloud_TCO!G39*0.9</f>
        <v>1152372.3892515</v>
      </c>
      <c r="F6" s="63" t="n">
        <f aca="false">Cloud_TCO!G39</f>
        <v>1280413.765835</v>
      </c>
      <c r="G6" s="63" t="n">
        <f aca="false">Cloud_TCO!G39*1.1</f>
        <v>1408455.1424185</v>
      </c>
      <c r="H6" s="110" t="n">
        <f aca="false">E6-F6</f>
        <v>-128041.3765835</v>
      </c>
      <c r="I6" s="111" t="n">
        <f aca="false">G6-F6</f>
        <v>128041.3765835</v>
      </c>
      <c r="J6" s="64" t="n">
        <f aca="false">ABS(G6-E6)</f>
        <v>256082.753167</v>
      </c>
    </row>
    <row r="7" customFormat="false" ht="15.75" hidden="false" customHeight="true" outlineLevel="0" collapsed="false">
      <c r="A7" s="52" t="s">
        <v>296</v>
      </c>
      <c r="B7" s="53" t="n">
        <f aca="false">Assumptions!B15*0.8</f>
        <v>1440</v>
      </c>
      <c r="C7" s="53" t="n">
        <f aca="false">Assumptions!B15</f>
        <v>1800</v>
      </c>
      <c r="D7" s="53" t="n">
        <f aca="false">Assumptions!B15*1.2</f>
        <v>2160</v>
      </c>
      <c r="E7" s="65" t="n">
        <f aca="false">Cloud_TCO!G39*0.92</f>
        <v>1177980.6645682</v>
      </c>
      <c r="F7" s="65" t="n">
        <f aca="false">Cloud_TCO!G39</f>
        <v>1280413.765835</v>
      </c>
      <c r="G7" s="65" t="n">
        <f aca="false">Cloud_TCO!G39*1.08</f>
        <v>1382846.8671018</v>
      </c>
      <c r="H7" s="110" t="n">
        <f aca="false">E7-F7</f>
        <v>-102433.1012668</v>
      </c>
      <c r="I7" s="111" t="n">
        <f aca="false">G7-F7</f>
        <v>102433.1012668</v>
      </c>
      <c r="J7" s="66" t="n">
        <f aca="false">ABS(G7-E7)</f>
        <v>204866.2025336</v>
      </c>
    </row>
    <row r="8" customFormat="false" ht="15.75" hidden="false" customHeight="true" outlineLevel="0" collapsed="false">
      <c r="A8" s="49" t="s">
        <v>297</v>
      </c>
      <c r="B8" s="55" t="s">
        <v>298</v>
      </c>
      <c r="C8" s="55" t="s">
        <v>299</v>
      </c>
      <c r="D8" s="55" t="s">
        <v>300</v>
      </c>
      <c r="E8" s="63" t="n">
        <f aca="false">Cloud_TCO!G39*0.95</f>
        <v>1216393.07754325</v>
      </c>
      <c r="F8" s="63" t="n">
        <f aca="false">Cloud_TCO!G39</f>
        <v>1280413.765835</v>
      </c>
      <c r="G8" s="63" t="n">
        <f aca="false">Cloud_TCO!G39*1.06</f>
        <v>1357238.5917851</v>
      </c>
      <c r="H8" s="110" t="n">
        <f aca="false">E8-F8</f>
        <v>-64020.6882917502</v>
      </c>
      <c r="I8" s="111" t="n">
        <f aca="false">G8-F8</f>
        <v>76824.8259501001</v>
      </c>
      <c r="J8" s="64" t="n">
        <f aca="false">ABS(G8-E8)</f>
        <v>140845.51424185</v>
      </c>
    </row>
    <row r="9" customFormat="false" ht="15.75" hidden="false" customHeight="true" outlineLevel="0" collapsed="false">
      <c r="A9" s="52" t="s">
        <v>301</v>
      </c>
      <c r="B9" s="55" t="s">
        <v>299</v>
      </c>
      <c r="C9" s="55" t="s">
        <v>300</v>
      </c>
      <c r="D9" s="55" t="s">
        <v>302</v>
      </c>
      <c r="E9" s="65" t="n">
        <f aca="false">OnPrem_TCO!G42*0.94</f>
        <v>1735686.5014335</v>
      </c>
      <c r="F9" s="65" t="n">
        <f aca="false">OnPrem_TCO!G42</f>
        <v>1846475.001525</v>
      </c>
      <c r="G9" s="65" t="n">
        <f aca="false">OnPrem_TCO!G42*1.1</f>
        <v>2031122.5016775</v>
      </c>
      <c r="H9" s="110" t="n">
        <f aca="false">E9-F9</f>
        <v>-110788.5000915</v>
      </c>
      <c r="I9" s="111" t="n">
        <f aca="false">G9-F9</f>
        <v>184647.5001525</v>
      </c>
      <c r="J9" s="66" t="n">
        <f aca="false">ABS(G9-E9)</f>
        <v>295436.000244</v>
      </c>
    </row>
    <row r="10" customFormat="false" ht="15.75" hidden="false" customHeight="true" outlineLevel="0" collapsed="false">
      <c r="A10" s="49" t="s">
        <v>303</v>
      </c>
      <c r="B10" s="57" t="s">
        <v>304</v>
      </c>
      <c r="C10" s="57" t="s">
        <v>305</v>
      </c>
      <c r="D10" s="57" t="s">
        <v>306</v>
      </c>
      <c r="E10" s="63" t="n">
        <f aca="false">OnPrem_TCO!G42*0.96</f>
        <v>1772616.001464</v>
      </c>
      <c r="F10" s="63" t="n">
        <f aca="false">OnPrem_TCO!G42</f>
        <v>1846475.001525</v>
      </c>
      <c r="G10" s="63" t="n">
        <f aca="false">OnPrem_TCO!G42*1.07</f>
        <v>1975728.25163175</v>
      </c>
      <c r="H10" s="110" t="n">
        <f aca="false">E10-F10</f>
        <v>-73859.000061</v>
      </c>
      <c r="I10" s="111" t="n">
        <f aca="false">G10-F10</f>
        <v>129253.25010675</v>
      </c>
      <c r="J10" s="64" t="n">
        <f aca="false">ABS(G10-E10)</f>
        <v>203112.25016775</v>
      </c>
    </row>
    <row r="11" customFormat="false" ht="15.75" hidden="false" customHeight="true" outlineLevel="0" collapsed="false">
      <c r="A11" s="52" t="s">
        <v>307</v>
      </c>
      <c r="B11" s="55" t="s">
        <v>308</v>
      </c>
      <c r="C11" s="55" t="s">
        <v>298</v>
      </c>
      <c r="D11" s="55" t="s">
        <v>309</v>
      </c>
      <c r="E11" s="65" t="n">
        <f aca="false">Cloud_TCO!G41*1.05</f>
        <v>1053109.10813919</v>
      </c>
      <c r="F11" s="65" t="n">
        <f aca="false">Cloud_TCO!G41</f>
        <v>1002961.05537066</v>
      </c>
      <c r="G11" s="65" t="n">
        <f aca="false">Cloud_TCO!G41*0.96</f>
        <v>962842.613155832</v>
      </c>
      <c r="H11" s="110" t="n">
        <f aca="false">E11-F11</f>
        <v>50148.052768533</v>
      </c>
      <c r="I11" s="111" t="n">
        <f aca="false">G11-F11</f>
        <v>-40118.4422148264</v>
      </c>
      <c r="J11" s="66" t="n">
        <f aca="false">ABS(G11-E11)</f>
        <v>90266.4949833594</v>
      </c>
    </row>
    <row r="12" customFormat="false" ht="15.75" hidden="false" customHeight="true" outlineLevel="0" collapsed="false">
      <c r="A12" s="49" t="s">
        <v>310</v>
      </c>
      <c r="B12" s="53" t="n">
        <f aca="false">Assumptions!C51*0.8</f>
        <v>36000</v>
      </c>
      <c r="C12" s="53" t="n">
        <f aca="false">Assumptions!C51</f>
        <v>45000</v>
      </c>
      <c r="D12" s="53" t="n">
        <f aca="false">Assumptions!C51*1.2</f>
        <v>54000</v>
      </c>
      <c r="E12" s="63" t="n">
        <f aca="false">OnPrem_TCO!G42*0.98</f>
        <v>1809545.5014945</v>
      </c>
      <c r="F12" s="63" t="n">
        <f aca="false">OnPrem_TCO!G42</f>
        <v>1846475.001525</v>
      </c>
      <c r="G12" s="63" t="n">
        <f aca="false">OnPrem_TCO!G42*1.03</f>
        <v>1901869.25157075</v>
      </c>
      <c r="H12" s="110" t="n">
        <f aca="false">E12-F12</f>
        <v>-36929.5000305001</v>
      </c>
      <c r="I12" s="111" t="n">
        <f aca="false">G12-F12</f>
        <v>55394.2500457501</v>
      </c>
      <c r="J12" s="64" t="n">
        <f aca="false">ABS(G12-E12)</f>
        <v>92323.7500762502</v>
      </c>
    </row>
    <row r="13" customFormat="false" ht="15.75" hidden="false" customHeight="true" outlineLevel="0" collapsed="false">
      <c r="A13" s="52" t="s">
        <v>311</v>
      </c>
      <c r="B13" s="55" t="s">
        <v>312</v>
      </c>
      <c r="C13" s="55" t="s">
        <v>313</v>
      </c>
      <c r="D13" s="55" t="s">
        <v>314</v>
      </c>
      <c r="E13" s="65" t="n">
        <f aca="false">Cloud_TCO!G39*0.97</f>
        <v>1242001.35285995</v>
      </c>
      <c r="F13" s="65" t="n">
        <f aca="false">Cloud_TCO!G39</f>
        <v>1280413.765835</v>
      </c>
      <c r="G13" s="65" t="n">
        <f aca="false">Cloud_TCO!G39*1.04</f>
        <v>1331630.3164684</v>
      </c>
      <c r="H13" s="110" t="n">
        <f aca="false">E13-F13</f>
        <v>-38412.41297505</v>
      </c>
      <c r="I13" s="111" t="n">
        <f aca="false">G13-F13</f>
        <v>51216.5506334</v>
      </c>
      <c r="J13" s="66" t="n">
        <f aca="false">ABS(G13-E13)</f>
        <v>89628.96360845</v>
      </c>
    </row>
    <row r="16" customFormat="false" ht="18" hidden="false" customHeight="true" outlineLevel="0" collapsed="false">
      <c r="A16" s="56" t="s">
        <v>315</v>
      </c>
      <c r="B16" s="56"/>
      <c r="C16" s="56"/>
      <c r="D16" s="56"/>
      <c r="E16" s="56"/>
      <c r="F16" s="56"/>
      <c r="G16" s="56"/>
      <c r="H16" s="56"/>
      <c r="I16" s="56"/>
      <c r="J16" s="56"/>
    </row>
    <row r="17" customFormat="false" ht="18" hidden="false" customHeight="true" outlineLevel="0" collapsed="false">
      <c r="A17" s="112" t="s">
        <v>316</v>
      </c>
      <c r="B17" s="113" t="n">
        <v>40</v>
      </c>
      <c r="C17" s="113" t="n">
        <v>60</v>
      </c>
      <c r="D17" s="113" t="n">
        <v>75</v>
      </c>
      <c r="E17" s="113" t="n">
        <v>100</v>
      </c>
      <c r="F17" s="113" t="n">
        <v>125</v>
      </c>
      <c r="G17" s="113" t="n">
        <v>150</v>
      </c>
    </row>
    <row r="18" customFormat="false" ht="15.75" hidden="false" customHeight="true" outlineLevel="0" collapsed="false">
      <c r="A18" s="26" t="n">
        <v>1200</v>
      </c>
      <c r="B18" s="63" t="n">
        <v>265200</v>
      </c>
      <c r="C18" s="65" t="n">
        <v>397800</v>
      </c>
      <c r="D18" s="63" t="n">
        <v>497300</v>
      </c>
      <c r="E18" s="65" t="n">
        <v>663100</v>
      </c>
      <c r="F18" s="63" t="n">
        <v>828800</v>
      </c>
      <c r="G18" s="65" t="n">
        <v>994600</v>
      </c>
    </row>
    <row r="19" customFormat="false" ht="15.75" hidden="false" customHeight="true" outlineLevel="0" collapsed="false">
      <c r="A19" s="26" t="n">
        <v>1500</v>
      </c>
      <c r="B19" s="65" t="n">
        <v>331500</v>
      </c>
      <c r="C19" s="63" t="n">
        <v>497300</v>
      </c>
      <c r="D19" s="65" t="n">
        <v>621600</v>
      </c>
      <c r="E19" s="63" t="n">
        <v>828800</v>
      </c>
      <c r="F19" s="65" t="n">
        <v>1036100</v>
      </c>
      <c r="G19" s="63" t="n">
        <v>1243300</v>
      </c>
    </row>
    <row r="20" customFormat="false" ht="15.75" hidden="false" customHeight="true" outlineLevel="0" collapsed="false">
      <c r="A20" s="26" t="n">
        <v>1800</v>
      </c>
      <c r="B20" s="63" t="n">
        <v>397800</v>
      </c>
      <c r="C20" s="65" t="n">
        <v>596800</v>
      </c>
      <c r="D20" s="63" t="n">
        <v>746000</v>
      </c>
      <c r="E20" s="65" t="n">
        <v>994600</v>
      </c>
      <c r="F20" s="63" t="n">
        <v>1243300</v>
      </c>
      <c r="G20" s="65" t="n">
        <v>1491900</v>
      </c>
    </row>
    <row r="21" customFormat="false" ht="15.75" hidden="false" customHeight="true" outlineLevel="0" collapsed="false">
      <c r="A21" s="26" t="n">
        <v>2100</v>
      </c>
      <c r="B21" s="65" t="n">
        <v>464200</v>
      </c>
      <c r="C21" s="63" t="n">
        <v>696200</v>
      </c>
      <c r="D21" s="65" t="n">
        <v>870300</v>
      </c>
      <c r="E21" s="63" t="n">
        <v>1160400</v>
      </c>
      <c r="F21" s="65" t="n">
        <v>1450500</v>
      </c>
      <c r="G21" s="63" t="n">
        <v>1740600</v>
      </c>
    </row>
    <row r="22" customFormat="false" ht="15.75" hidden="false" customHeight="true" outlineLevel="0" collapsed="false">
      <c r="A22" s="26" t="n">
        <v>2400</v>
      </c>
      <c r="B22" s="63" t="n">
        <v>530500</v>
      </c>
      <c r="C22" s="65" t="n">
        <v>795700</v>
      </c>
      <c r="D22" s="63" t="n">
        <v>994600</v>
      </c>
      <c r="E22" s="65" t="n">
        <v>1326200</v>
      </c>
      <c r="F22" s="63" t="n">
        <v>1657700</v>
      </c>
      <c r="G22" s="65" t="n">
        <v>1989200</v>
      </c>
    </row>
    <row r="23" customFormat="false" ht="15.75" hidden="false" customHeight="true" outlineLevel="0" collapsed="false">
      <c r="A23" s="26" t="n">
        <v>2800</v>
      </c>
      <c r="B23" s="65" t="n">
        <v>618900</v>
      </c>
      <c r="C23" s="63" t="n">
        <v>928300</v>
      </c>
      <c r="D23" s="65" t="n">
        <v>1160400</v>
      </c>
      <c r="E23" s="63" t="n">
        <v>1547200</v>
      </c>
      <c r="F23" s="65" t="n">
        <v>1934000</v>
      </c>
      <c r="G23" s="63" t="n">
        <v>2320800</v>
      </c>
    </row>
    <row r="24" customFormat="false" ht="18" hidden="false" customHeight="true" outlineLevel="0" collapsed="false">
      <c r="A24" s="56" t="s">
        <v>317</v>
      </c>
      <c r="B24" s="56"/>
      <c r="C24" s="56"/>
      <c r="D24" s="56"/>
      <c r="E24" s="56"/>
      <c r="F24" s="56"/>
      <c r="G24" s="56"/>
      <c r="H24" s="56"/>
      <c r="I24" s="56"/>
      <c r="J24" s="56"/>
    </row>
    <row r="25" customFormat="false" ht="18" hidden="false" customHeight="true" outlineLevel="0" collapsed="false">
      <c r="A25" s="112" t="s">
        <v>318</v>
      </c>
      <c r="B25" s="114" t="n">
        <v>0.1</v>
      </c>
      <c r="C25" s="114" t="n">
        <v>0.15</v>
      </c>
      <c r="D25" s="114" t="n">
        <v>0.2</v>
      </c>
      <c r="E25" s="114" t="n">
        <v>0.25</v>
      </c>
      <c r="F25" s="114" t="n">
        <v>0.3</v>
      </c>
      <c r="G25" s="114" t="n">
        <v>0.4</v>
      </c>
    </row>
    <row r="26" customFormat="false" ht="15.75" hidden="false" customHeight="true" outlineLevel="0" collapsed="false">
      <c r="A26" s="29" t="n">
        <v>120000</v>
      </c>
      <c r="B26" s="63" t="n">
        <v>592000</v>
      </c>
      <c r="C26" s="65" t="n">
        <v>598000</v>
      </c>
      <c r="D26" s="63" t="n">
        <v>604000</v>
      </c>
      <c r="E26" s="65" t="n">
        <v>610000</v>
      </c>
      <c r="F26" s="63" t="n">
        <v>616000</v>
      </c>
      <c r="G26" s="65" t="n">
        <v>628000</v>
      </c>
    </row>
    <row r="27" customFormat="false" ht="15.75" hidden="false" customHeight="true" outlineLevel="0" collapsed="false">
      <c r="A27" s="29" t="n">
        <v>150000</v>
      </c>
      <c r="B27" s="65" t="n">
        <v>646000</v>
      </c>
      <c r="C27" s="63" t="n">
        <v>652000</v>
      </c>
      <c r="D27" s="65" t="n">
        <v>658000</v>
      </c>
      <c r="E27" s="63" t="n">
        <v>664000</v>
      </c>
      <c r="F27" s="65" t="n">
        <v>670000</v>
      </c>
      <c r="G27" s="63" t="n">
        <v>682000</v>
      </c>
    </row>
    <row r="28" customFormat="false" ht="15.75" hidden="false" customHeight="true" outlineLevel="0" collapsed="false">
      <c r="A28" s="29" t="n">
        <v>180000</v>
      </c>
      <c r="B28" s="63" t="n">
        <v>700000</v>
      </c>
      <c r="C28" s="65" t="n">
        <v>706000</v>
      </c>
      <c r="D28" s="63" t="n">
        <v>712000</v>
      </c>
      <c r="E28" s="65" t="n">
        <v>718000</v>
      </c>
      <c r="F28" s="63" t="n">
        <v>724000</v>
      </c>
      <c r="G28" s="65" t="n">
        <v>736000</v>
      </c>
    </row>
    <row r="29" customFormat="false" ht="15.75" hidden="false" customHeight="true" outlineLevel="0" collapsed="false">
      <c r="A29" s="29" t="n">
        <v>220000</v>
      </c>
      <c r="B29" s="65" t="n">
        <v>772000</v>
      </c>
      <c r="C29" s="63" t="n">
        <v>778000</v>
      </c>
      <c r="D29" s="65" t="n">
        <v>784000</v>
      </c>
      <c r="E29" s="63" t="n">
        <v>790000</v>
      </c>
      <c r="F29" s="65" t="n">
        <v>796000</v>
      </c>
      <c r="G29" s="63" t="n">
        <v>808000</v>
      </c>
    </row>
    <row r="30" customFormat="false" ht="15.75" hidden="false" customHeight="true" outlineLevel="0" collapsed="false">
      <c r="A30" s="29" t="n">
        <v>260000</v>
      </c>
      <c r="B30" s="63" t="n">
        <v>844000</v>
      </c>
      <c r="C30" s="65" t="n">
        <v>850000</v>
      </c>
      <c r="D30" s="63" t="n">
        <v>856000</v>
      </c>
      <c r="E30" s="65" t="n">
        <v>862000</v>
      </c>
      <c r="F30" s="63" t="n">
        <v>868000</v>
      </c>
      <c r="G30" s="65" t="n">
        <v>880000</v>
      </c>
    </row>
    <row r="31" customFormat="false" ht="15.75" hidden="false" customHeight="true" outlineLevel="0" collapsed="false">
      <c r="A31" s="29" t="n">
        <v>300000</v>
      </c>
      <c r="B31" s="65" t="n">
        <v>916000</v>
      </c>
      <c r="C31" s="63" t="n">
        <v>922000</v>
      </c>
      <c r="D31" s="65" t="n">
        <v>928000</v>
      </c>
      <c r="E31" s="63" t="n">
        <v>934000</v>
      </c>
      <c r="F31" s="65" t="n">
        <v>940000</v>
      </c>
      <c r="G31" s="63" t="n">
        <v>952000</v>
      </c>
    </row>
  </sheetData>
  <mergeCells count="5">
    <mergeCell ref="A1:J1"/>
    <mergeCell ref="A2:J2"/>
    <mergeCell ref="A4:J4"/>
    <mergeCell ref="A16:J16"/>
    <mergeCell ref="A24:J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2" min="2" style="1" width="10"/>
    <col collapsed="false" customWidth="true" hidden="false" outlineLevel="0" max="10" min="3" style="1" width="13"/>
  </cols>
  <sheetData>
    <row r="1" customFormat="false" ht="30" hidden="false" customHeight="true" outlineLevel="0" collapsed="false">
      <c r="A1" s="78" t="s">
        <v>319</v>
      </c>
      <c r="B1" s="78"/>
      <c r="C1" s="78"/>
      <c r="D1" s="78"/>
      <c r="E1" s="78"/>
      <c r="F1" s="78"/>
      <c r="G1" s="78"/>
      <c r="H1" s="78"/>
      <c r="I1" s="78"/>
      <c r="J1" s="78"/>
    </row>
    <row r="2" customFormat="false" ht="15" hidden="false" customHeight="true" outlineLevel="0" collapsed="false">
      <c r="A2" s="46" t="s">
        <v>320</v>
      </c>
      <c r="B2" s="46"/>
      <c r="C2" s="46"/>
      <c r="D2" s="46"/>
      <c r="E2" s="46"/>
      <c r="F2" s="46"/>
      <c r="G2" s="46"/>
      <c r="H2" s="46"/>
      <c r="I2" s="46"/>
      <c r="J2" s="46"/>
    </row>
    <row r="4" customFormat="false" ht="18" hidden="false" customHeight="true" outlineLevel="0" collapsed="false">
      <c r="A4" s="4" t="s">
        <v>321</v>
      </c>
      <c r="B4" s="4"/>
      <c r="C4" s="4"/>
      <c r="D4" s="4"/>
      <c r="E4" s="4"/>
      <c r="F4" s="4"/>
      <c r="G4" s="4"/>
      <c r="H4" s="4"/>
      <c r="I4" s="4"/>
      <c r="J4" s="4"/>
    </row>
    <row r="5" customFormat="false" ht="27.75" hidden="false" customHeight="true" outlineLevel="0" collapsed="false">
      <c r="A5" s="5" t="s">
        <v>322</v>
      </c>
      <c r="B5" s="6" t="s">
        <v>323</v>
      </c>
      <c r="C5" s="6" t="s">
        <v>324</v>
      </c>
      <c r="D5" s="6" t="s">
        <v>325</v>
      </c>
      <c r="E5" s="6" t="s">
        <v>326</v>
      </c>
      <c r="F5" s="6" t="s">
        <v>327</v>
      </c>
      <c r="G5" s="6" t="s">
        <v>328</v>
      </c>
      <c r="H5" s="6" t="s">
        <v>329</v>
      </c>
    </row>
    <row r="6" customFormat="false" ht="18" hidden="false" customHeight="true" outlineLevel="0" collapsed="false">
      <c r="A6" s="61" t="s">
        <v>330</v>
      </c>
      <c r="B6" s="61"/>
      <c r="C6" s="61"/>
      <c r="D6" s="61"/>
      <c r="E6" s="61"/>
      <c r="F6" s="61"/>
      <c r="G6" s="61"/>
      <c r="H6" s="61"/>
      <c r="I6" s="61"/>
      <c r="J6" s="61"/>
    </row>
    <row r="7" customFormat="false" ht="15.75" hidden="false" customHeight="true" outlineLevel="0" collapsed="false">
      <c r="A7" s="62" t="s">
        <v>331</v>
      </c>
      <c r="B7" s="55" t="n">
        <v>0.1</v>
      </c>
      <c r="C7" s="50" t="n">
        <v>3</v>
      </c>
      <c r="D7" s="50" t="n">
        <v>4</v>
      </c>
      <c r="E7" s="50" t="n">
        <v>3</v>
      </c>
      <c r="F7" s="50" t="n">
        <v>2</v>
      </c>
      <c r="G7" s="50" t="n">
        <v>3</v>
      </c>
      <c r="H7" s="115" t="n">
        <f aca="false">B7*5</f>
        <v>0.5</v>
      </c>
    </row>
    <row r="8" customFormat="false" ht="15.75" hidden="false" customHeight="true" outlineLevel="0" collapsed="false">
      <c r="A8" s="67" t="s">
        <v>332</v>
      </c>
      <c r="B8" s="55" t="n">
        <v>0.05</v>
      </c>
      <c r="C8" s="50" t="n">
        <v>3</v>
      </c>
      <c r="D8" s="50" t="n">
        <v>4</v>
      </c>
      <c r="E8" s="50" t="n">
        <v>3</v>
      </c>
      <c r="F8" s="50" t="n">
        <v>2</v>
      </c>
      <c r="G8" s="50" t="n">
        <v>3</v>
      </c>
      <c r="H8" s="116" t="n">
        <f aca="false">B8*5</f>
        <v>0.25</v>
      </c>
    </row>
    <row r="9" customFormat="false" ht="15.75" hidden="false" customHeight="true" outlineLevel="0" collapsed="false">
      <c r="A9" s="62" t="s">
        <v>333</v>
      </c>
      <c r="B9" s="55" t="n">
        <v>0.05</v>
      </c>
      <c r="C9" s="50" t="n">
        <v>3</v>
      </c>
      <c r="D9" s="50" t="n">
        <v>4</v>
      </c>
      <c r="E9" s="50" t="n">
        <v>3</v>
      </c>
      <c r="F9" s="50" t="n">
        <v>2</v>
      </c>
      <c r="G9" s="50" t="n">
        <v>3</v>
      </c>
      <c r="H9" s="115" t="n">
        <f aca="false">B9*5</f>
        <v>0.25</v>
      </c>
    </row>
    <row r="10" customFormat="false" ht="15.75" hidden="false" customHeight="true" outlineLevel="0" collapsed="false">
      <c r="A10" s="67" t="s">
        <v>334</v>
      </c>
      <c r="B10" s="55" t="n">
        <v>0.05</v>
      </c>
      <c r="C10" s="50" t="n">
        <v>3</v>
      </c>
      <c r="D10" s="50" t="n">
        <v>4</v>
      </c>
      <c r="E10" s="50" t="n">
        <v>3</v>
      </c>
      <c r="F10" s="50" t="n">
        <v>2</v>
      </c>
      <c r="G10" s="50" t="n">
        <v>3</v>
      </c>
      <c r="H10" s="116" t="n">
        <f aca="false">B10*5</f>
        <v>0.25</v>
      </c>
    </row>
    <row r="11" customFormat="false" ht="18" hidden="false" customHeight="true" outlineLevel="0" collapsed="false">
      <c r="A11" s="61" t="s">
        <v>335</v>
      </c>
      <c r="B11" s="61"/>
      <c r="C11" s="61"/>
      <c r="D11" s="61"/>
      <c r="E11" s="61"/>
      <c r="F11" s="61"/>
      <c r="G11" s="61"/>
      <c r="H11" s="61"/>
      <c r="I11" s="61"/>
      <c r="J11" s="61"/>
    </row>
    <row r="12" customFormat="false" ht="15.75" hidden="false" customHeight="true" outlineLevel="0" collapsed="false">
      <c r="A12" s="62" t="s">
        <v>336</v>
      </c>
      <c r="B12" s="55" t="n">
        <v>0.08</v>
      </c>
      <c r="C12" s="50" t="n">
        <v>3</v>
      </c>
      <c r="D12" s="50" t="n">
        <v>4</v>
      </c>
      <c r="E12" s="50" t="n">
        <v>3</v>
      </c>
      <c r="F12" s="50" t="n">
        <v>2</v>
      </c>
      <c r="G12" s="50" t="n">
        <v>3</v>
      </c>
      <c r="H12" s="115" t="n">
        <f aca="false">B12*5</f>
        <v>0.4</v>
      </c>
    </row>
    <row r="13" customFormat="false" ht="15.75" hidden="false" customHeight="true" outlineLevel="0" collapsed="false">
      <c r="A13" s="67" t="s">
        <v>337</v>
      </c>
      <c r="B13" s="55" t="n">
        <v>0.06</v>
      </c>
      <c r="C13" s="50" t="n">
        <v>3</v>
      </c>
      <c r="D13" s="50" t="n">
        <v>4</v>
      </c>
      <c r="E13" s="50" t="n">
        <v>3</v>
      </c>
      <c r="F13" s="50" t="n">
        <v>2</v>
      </c>
      <c r="G13" s="50" t="n">
        <v>3</v>
      </c>
      <c r="H13" s="116" t="n">
        <f aca="false">B13*5</f>
        <v>0.3</v>
      </c>
    </row>
    <row r="14" customFormat="false" ht="15.75" hidden="false" customHeight="true" outlineLevel="0" collapsed="false">
      <c r="A14" s="62" t="s">
        <v>338</v>
      </c>
      <c r="B14" s="55" t="n">
        <v>0.06</v>
      </c>
      <c r="C14" s="50" t="n">
        <v>3</v>
      </c>
      <c r="D14" s="50" t="n">
        <v>4</v>
      </c>
      <c r="E14" s="50" t="n">
        <v>3</v>
      </c>
      <c r="F14" s="50" t="n">
        <v>2</v>
      </c>
      <c r="G14" s="50" t="n">
        <v>3</v>
      </c>
      <c r="H14" s="115" t="n">
        <f aca="false">B14*5</f>
        <v>0.3</v>
      </c>
    </row>
    <row r="15" customFormat="false" ht="15.75" hidden="false" customHeight="true" outlineLevel="0" collapsed="false">
      <c r="A15" s="67" t="s">
        <v>339</v>
      </c>
      <c r="B15" s="55" t="n">
        <v>0.05</v>
      </c>
      <c r="C15" s="50" t="n">
        <v>3</v>
      </c>
      <c r="D15" s="50" t="n">
        <v>4</v>
      </c>
      <c r="E15" s="50" t="n">
        <v>3</v>
      </c>
      <c r="F15" s="50" t="n">
        <v>2</v>
      </c>
      <c r="G15" s="50" t="n">
        <v>3</v>
      </c>
      <c r="H15" s="116" t="n">
        <f aca="false">B15*5</f>
        <v>0.25</v>
      </c>
    </row>
    <row r="16" customFormat="false" ht="15.75" hidden="false" customHeight="true" outlineLevel="0" collapsed="false">
      <c r="A16" s="62" t="s">
        <v>340</v>
      </c>
      <c r="B16" s="55" t="n">
        <v>0.05</v>
      </c>
      <c r="C16" s="50" t="n">
        <v>3</v>
      </c>
      <c r="D16" s="50" t="n">
        <v>4</v>
      </c>
      <c r="E16" s="50" t="n">
        <v>3</v>
      </c>
      <c r="F16" s="50" t="n">
        <v>2</v>
      </c>
      <c r="G16" s="50" t="n">
        <v>3</v>
      </c>
      <c r="H16" s="115" t="n">
        <f aca="false">B16*5</f>
        <v>0.25</v>
      </c>
    </row>
    <row r="17" customFormat="false" ht="18" hidden="false" customHeight="true" outlineLevel="0" collapsed="false">
      <c r="A17" s="61" t="s">
        <v>341</v>
      </c>
      <c r="B17" s="61"/>
      <c r="C17" s="61"/>
      <c r="D17" s="61"/>
      <c r="E17" s="61"/>
      <c r="F17" s="61"/>
      <c r="G17" s="61"/>
      <c r="H17" s="61"/>
      <c r="I17" s="61"/>
      <c r="J17" s="61"/>
    </row>
    <row r="18" customFormat="false" ht="15.75" hidden="false" customHeight="true" outlineLevel="0" collapsed="false">
      <c r="A18" s="62" t="s">
        <v>342</v>
      </c>
      <c r="B18" s="55" t="n">
        <v>0.06</v>
      </c>
      <c r="C18" s="50" t="n">
        <v>3</v>
      </c>
      <c r="D18" s="50" t="n">
        <v>4</v>
      </c>
      <c r="E18" s="50" t="n">
        <v>3</v>
      </c>
      <c r="F18" s="50" t="n">
        <v>2</v>
      </c>
      <c r="G18" s="50" t="n">
        <v>3</v>
      </c>
      <c r="H18" s="115" t="n">
        <f aca="false">B18*5</f>
        <v>0.3</v>
      </c>
    </row>
    <row r="19" customFormat="false" ht="15.75" hidden="false" customHeight="true" outlineLevel="0" collapsed="false">
      <c r="A19" s="67" t="s">
        <v>343</v>
      </c>
      <c r="B19" s="55" t="n">
        <v>0.04</v>
      </c>
      <c r="C19" s="50" t="n">
        <v>3</v>
      </c>
      <c r="D19" s="50" t="n">
        <v>4</v>
      </c>
      <c r="E19" s="50" t="n">
        <v>3</v>
      </c>
      <c r="F19" s="50" t="n">
        <v>2</v>
      </c>
      <c r="G19" s="50" t="n">
        <v>3</v>
      </c>
      <c r="H19" s="116" t="n">
        <f aca="false">B19*5</f>
        <v>0.2</v>
      </c>
    </row>
    <row r="20" customFormat="false" ht="15.75" hidden="false" customHeight="true" outlineLevel="0" collapsed="false">
      <c r="A20" s="62" t="s">
        <v>344</v>
      </c>
      <c r="B20" s="55" t="n">
        <v>0.05</v>
      </c>
      <c r="C20" s="50" t="n">
        <v>3</v>
      </c>
      <c r="D20" s="50" t="n">
        <v>4</v>
      </c>
      <c r="E20" s="50" t="n">
        <v>3</v>
      </c>
      <c r="F20" s="50" t="n">
        <v>2</v>
      </c>
      <c r="G20" s="50" t="n">
        <v>3</v>
      </c>
      <c r="H20" s="115" t="n">
        <f aca="false">B20*5</f>
        <v>0.25</v>
      </c>
    </row>
    <row r="21" customFormat="false" ht="15.75" hidden="false" customHeight="true" outlineLevel="0" collapsed="false">
      <c r="A21" s="67" t="s">
        <v>345</v>
      </c>
      <c r="B21" s="55" t="n">
        <v>0.05</v>
      </c>
      <c r="C21" s="50" t="n">
        <v>3</v>
      </c>
      <c r="D21" s="50" t="n">
        <v>4</v>
      </c>
      <c r="E21" s="50" t="n">
        <v>3</v>
      </c>
      <c r="F21" s="50" t="n">
        <v>2</v>
      </c>
      <c r="G21" s="50" t="n">
        <v>3</v>
      </c>
      <c r="H21" s="116" t="n">
        <f aca="false">B21*5</f>
        <v>0.25</v>
      </c>
    </row>
    <row r="22" customFormat="false" ht="18" hidden="false" customHeight="true" outlineLevel="0" collapsed="false">
      <c r="A22" s="61" t="s">
        <v>346</v>
      </c>
      <c r="B22" s="61"/>
      <c r="C22" s="61"/>
      <c r="D22" s="61"/>
      <c r="E22" s="61"/>
      <c r="F22" s="61"/>
      <c r="G22" s="61"/>
      <c r="H22" s="61"/>
      <c r="I22" s="61"/>
      <c r="J22" s="61"/>
    </row>
    <row r="23" customFormat="false" ht="15.75" hidden="false" customHeight="true" outlineLevel="0" collapsed="false">
      <c r="A23" s="62" t="s">
        <v>347</v>
      </c>
      <c r="B23" s="55" t="n">
        <v>0.05</v>
      </c>
      <c r="C23" s="50" t="n">
        <v>3</v>
      </c>
      <c r="D23" s="50" t="n">
        <v>4</v>
      </c>
      <c r="E23" s="50" t="n">
        <v>3</v>
      </c>
      <c r="F23" s="50" t="n">
        <v>2</v>
      </c>
      <c r="G23" s="50" t="n">
        <v>3</v>
      </c>
      <c r="H23" s="115" t="n">
        <f aca="false">B23*5</f>
        <v>0.25</v>
      </c>
    </row>
    <row r="24" customFormat="false" ht="15.75" hidden="false" customHeight="true" outlineLevel="0" collapsed="false">
      <c r="A24" s="67" t="s">
        <v>348</v>
      </c>
      <c r="B24" s="55" t="n">
        <v>0.04</v>
      </c>
      <c r="C24" s="50" t="n">
        <v>3</v>
      </c>
      <c r="D24" s="50" t="n">
        <v>4</v>
      </c>
      <c r="E24" s="50" t="n">
        <v>3</v>
      </c>
      <c r="F24" s="50" t="n">
        <v>2</v>
      </c>
      <c r="G24" s="50" t="n">
        <v>3</v>
      </c>
      <c r="H24" s="116" t="n">
        <f aca="false">B24*5</f>
        <v>0.2</v>
      </c>
    </row>
    <row r="25" customFormat="false" ht="15.75" hidden="false" customHeight="true" outlineLevel="0" collapsed="false">
      <c r="A25" s="62" t="s">
        <v>349</v>
      </c>
      <c r="B25" s="55" t="n">
        <v>0.03</v>
      </c>
      <c r="C25" s="50" t="n">
        <v>3</v>
      </c>
      <c r="D25" s="50" t="n">
        <v>4</v>
      </c>
      <c r="E25" s="50" t="n">
        <v>3</v>
      </c>
      <c r="F25" s="50" t="n">
        <v>2</v>
      </c>
      <c r="G25" s="50" t="n">
        <v>3</v>
      </c>
      <c r="H25" s="115" t="n">
        <f aca="false">B25*5</f>
        <v>0.15</v>
      </c>
    </row>
    <row r="26" customFormat="false" ht="15.75" hidden="false" customHeight="true" outlineLevel="0" collapsed="false">
      <c r="A26" s="67" t="s">
        <v>350</v>
      </c>
      <c r="B26" s="55" t="n">
        <v>0.03</v>
      </c>
      <c r="C26" s="50" t="n">
        <v>3</v>
      </c>
      <c r="D26" s="50" t="n">
        <v>4</v>
      </c>
      <c r="E26" s="50" t="n">
        <v>3</v>
      </c>
      <c r="F26" s="50" t="n">
        <v>2</v>
      </c>
      <c r="G26" s="50" t="n">
        <v>3</v>
      </c>
      <c r="H26" s="116" t="n">
        <f aca="false">B26*5</f>
        <v>0.15</v>
      </c>
    </row>
    <row r="27" customFormat="false" ht="18" hidden="false" customHeight="true" outlineLevel="0" collapsed="false">
      <c r="A27" s="61" t="s">
        <v>351</v>
      </c>
      <c r="B27" s="61"/>
      <c r="C27" s="61"/>
      <c r="D27" s="61"/>
      <c r="E27" s="61"/>
      <c r="F27" s="61"/>
      <c r="G27" s="61"/>
      <c r="H27" s="61"/>
      <c r="I27" s="61"/>
      <c r="J27" s="61"/>
    </row>
    <row r="28" customFormat="false" ht="15.75" hidden="false" customHeight="true" outlineLevel="0" collapsed="false">
      <c r="A28" s="62" t="s">
        <v>352</v>
      </c>
      <c r="B28" s="55" t="n">
        <v>0.03</v>
      </c>
      <c r="C28" s="50" t="n">
        <v>3</v>
      </c>
      <c r="D28" s="50" t="n">
        <v>4</v>
      </c>
      <c r="E28" s="50" t="n">
        <v>3</v>
      </c>
      <c r="F28" s="50" t="n">
        <v>2</v>
      </c>
      <c r="G28" s="50" t="n">
        <v>3</v>
      </c>
      <c r="H28" s="115" t="n">
        <f aca="false">B28*5</f>
        <v>0.15</v>
      </c>
    </row>
    <row r="29" customFormat="false" ht="15.75" hidden="false" customHeight="true" outlineLevel="0" collapsed="false">
      <c r="A29" s="67" t="s">
        <v>353</v>
      </c>
      <c r="B29" s="55" t="n">
        <v>0.03</v>
      </c>
      <c r="C29" s="50" t="n">
        <v>3</v>
      </c>
      <c r="D29" s="50" t="n">
        <v>4</v>
      </c>
      <c r="E29" s="50" t="n">
        <v>3</v>
      </c>
      <c r="F29" s="50" t="n">
        <v>2</v>
      </c>
      <c r="G29" s="50" t="n">
        <v>3</v>
      </c>
      <c r="H29" s="116" t="n">
        <f aca="false">B29*5</f>
        <v>0.15</v>
      </c>
    </row>
    <row r="30" customFormat="false" ht="15.75" hidden="false" customHeight="true" outlineLevel="0" collapsed="false">
      <c r="A30" s="62" t="s">
        <v>354</v>
      </c>
      <c r="B30" s="55" t="n">
        <v>0.02</v>
      </c>
      <c r="C30" s="50" t="n">
        <v>3</v>
      </c>
      <c r="D30" s="50" t="n">
        <v>4</v>
      </c>
      <c r="E30" s="50" t="n">
        <v>3</v>
      </c>
      <c r="F30" s="50" t="n">
        <v>2</v>
      </c>
      <c r="G30" s="50" t="n">
        <v>3</v>
      </c>
      <c r="H30" s="115" t="n">
        <f aca="false">B30*5</f>
        <v>0.1</v>
      </c>
    </row>
    <row r="31" customFormat="false" ht="15.75" hidden="false" customHeight="true" outlineLevel="0" collapsed="false">
      <c r="A31" s="67" t="s">
        <v>355</v>
      </c>
      <c r="B31" s="55" t="n">
        <v>0.02</v>
      </c>
      <c r="C31" s="50" t="n">
        <v>3</v>
      </c>
      <c r="D31" s="50" t="n">
        <v>4</v>
      </c>
      <c r="E31" s="50" t="n">
        <v>3</v>
      </c>
      <c r="F31" s="50" t="n">
        <v>2</v>
      </c>
      <c r="G31" s="50" t="n">
        <v>3</v>
      </c>
      <c r="H31" s="116" t="n">
        <f aca="false">B31*5</f>
        <v>0.1</v>
      </c>
    </row>
    <row r="32" customFormat="false" ht="18" hidden="false" customHeight="true" outlineLevel="0" collapsed="false">
      <c r="A32" s="4" t="s">
        <v>356</v>
      </c>
      <c r="B32" s="4"/>
      <c r="C32" s="4"/>
      <c r="D32" s="4"/>
      <c r="E32" s="4"/>
      <c r="F32" s="4"/>
      <c r="G32" s="4"/>
      <c r="H32" s="4"/>
      <c r="I32" s="4"/>
      <c r="J32" s="4"/>
    </row>
    <row r="33" customFormat="false" ht="15.75" hidden="false" customHeight="true" outlineLevel="0" collapsed="false">
      <c r="A33" s="92" t="s">
        <v>357</v>
      </c>
      <c r="B33" s="106" t="n">
        <f aca="false">IFERROR(SUM(B7:B32),0)</f>
        <v>1</v>
      </c>
      <c r="C33" s="117" t="n">
        <f aca="false">SUMPRODUCT((C7:C31),(B7:B31))</f>
        <v>3</v>
      </c>
      <c r="D33" s="117" t="n">
        <f aca="false">SUMPRODUCT((D7:D31),(B7:B31))</f>
        <v>4</v>
      </c>
      <c r="E33" s="117" t="n">
        <f aca="false">SUMPRODUCT((E7:E31),(B7:B31))</f>
        <v>3</v>
      </c>
      <c r="F33" s="117" t="n">
        <f aca="false">SUMPRODUCT((F7:F31),(B7:B31))</f>
        <v>2</v>
      </c>
      <c r="G33" s="117" t="n">
        <f aca="false">SUMPRODUCT((G7:G31),(B7:B31))</f>
        <v>3</v>
      </c>
      <c r="H33" s="118" t="s">
        <v>358</v>
      </c>
    </row>
    <row r="35" customFormat="false" ht="18" hidden="false" customHeight="true" outlineLevel="0" collapsed="false">
      <c r="A35" s="39" t="s">
        <v>359</v>
      </c>
      <c r="B35" s="39"/>
      <c r="C35" s="39"/>
      <c r="D35" s="39"/>
      <c r="E35" s="39"/>
      <c r="F35" s="39"/>
      <c r="G35" s="39"/>
      <c r="H35" s="39"/>
      <c r="I35" s="39"/>
      <c r="J35" s="39"/>
    </row>
    <row r="36" customFormat="false" ht="15.75" hidden="false" customHeight="true" outlineLevel="0" collapsed="false">
      <c r="A36" s="41" t="s">
        <v>360</v>
      </c>
      <c r="B36" s="41"/>
      <c r="C36" s="42" t="s">
        <v>361</v>
      </c>
      <c r="D36" s="42"/>
      <c r="E36" s="42"/>
      <c r="F36" s="42"/>
      <c r="G36" s="42"/>
      <c r="H36" s="42"/>
      <c r="I36" s="42"/>
      <c r="J36" s="42"/>
    </row>
    <row r="37" customFormat="false" ht="15.75" hidden="false" customHeight="true" outlineLevel="0" collapsed="false">
      <c r="A37" s="43" t="s">
        <v>362</v>
      </c>
      <c r="B37" s="43"/>
      <c r="C37" s="44" t="s">
        <v>363</v>
      </c>
      <c r="D37" s="44"/>
      <c r="E37" s="44"/>
      <c r="F37" s="44"/>
      <c r="G37" s="44"/>
      <c r="H37" s="44"/>
      <c r="I37" s="44"/>
      <c r="J37" s="44"/>
    </row>
    <row r="38" customFormat="false" ht="15.75" hidden="false" customHeight="true" outlineLevel="0" collapsed="false">
      <c r="A38" s="41" t="s">
        <v>364</v>
      </c>
      <c r="B38" s="41"/>
      <c r="C38" s="42" t="s">
        <v>365</v>
      </c>
      <c r="D38" s="42"/>
      <c r="E38" s="42"/>
      <c r="F38" s="42"/>
      <c r="G38" s="42"/>
      <c r="H38" s="42"/>
      <c r="I38" s="42"/>
      <c r="J38" s="42"/>
    </row>
    <row r="39" customFormat="false" ht="15.75" hidden="false" customHeight="true" outlineLevel="0" collapsed="false">
      <c r="A39" s="43" t="s">
        <v>366</v>
      </c>
      <c r="B39" s="43"/>
      <c r="C39" s="44" t="s">
        <v>367</v>
      </c>
      <c r="D39" s="44"/>
      <c r="E39" s="44"/>
      <c r="F39" s="44"/>
      <c r="G39" s="44"/>
      <c r="H39" s="44"/>
      <c r="I39" s="44"/>
      <c r="J39" s="44"/>
    </row>
    <row r="40" customFormat="false" ht="15.75" hidden="false" customHeight="true" outlineLevel="0" collapsed="false">
      <c r="A40" s="41" t="s">
        <v>368</v>
      </c>
      <c r="B40" s="41"/>
      <c r="C40" s="42" t="s">
        <v>369</v>
      </c>
      <c r="D40" s="42"/>
      <c r="E40" s="42"/>
      <c r="F40" s="42"/>
      <c r="G40" s="42"/>
      <c r="H40" s="42"/>
      <c r="I40" s="42"/>
      <c r="J40" s="42"/>
    </row>
  </sheetData>
  <mergeCells count="20">
    <mergeCell ref="A1:J1"/>
    <mergeCell ref="A2:J2"/>
    <mergeCell ref="A4:J4"/>
    <mergeCell ref="A6:J6"/>
    <mergeCell ref="A11:J11"/>
    <mergeCell ref="A17:J17"/>
    <mergeCell ref="A22:J22"/>
    <mergeCell ref="A27:J27"/>
    <mergeCell ref="A32:J32"/>
    <mergeCell ref="A35:J35"/>
    <mergeCell ref="A36:B36"/>
    <mergeCell ref="C36:J36"/>
    <mergeCell ref="A37:B37"/>
    <mergeCell ref="C37:J37"/>
    <mergeCell ref="A38:B38"/>
    <mergeCell ref="C38:J38"/>
    <mergeCell ref="A39:B39"/>
    <mergeCell ref="C39:J39"/>
    <mergeCell ref="A40:B40"/>
    <mergeCell ref="C40:J4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2026-03-15T02:32:18Z</dcterms:created>
  <dc:creator>openpyxl</dc:creator>
  <dc:description/>
  <dc:language>en-US</dc:language>
  <cp:lastModifiedBy/>
  <dcterms:modified xsi:type="dcterms:W3CDTF">2026-03-15T02:32:43Z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