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 Guide" sheetId="1" state="visible" r:id="rId3"/>
    <sheet name="⚙️ Scenario Inputs" sheetId="2" state="visible" r:id="rId4"/>
    <sheet name="📊 Scenario Output" sheetId="3" state="visible" r:id="rId5"/>
    <sheet name="🌡️ Sensitivity Table" sheetId="4" state="visible" r:id="rId6"/>
    <sheet name="📋 Summary"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<sst xmlns="http://schemas.openxmlformats.org/spreadsheetml/2006/main" count="106" uniqueCount="78">
  <si>
    <t xml:space="preserve">Scenario Planning &amp; Sensitivity Model  —  How To Use</t>
  </si>
  <si>
    <t xml:space="preserve">3 scenarios × 5 key variables  |  Connects to 3-Statement model  |  EfuturesCFO.com</t>
  </si>
  <si>
    <t xml:space="preserve">WHAT THIS MODEL DOES</t>
  </si>
  <si>
    <t xml:space="preserve">This model tests the financial impact of changing five key assumptions (revenue growth, gross margin, S&amp;M spend, R&amp;D spend, and churn rate) across three scenarios — Downside, Base, and Upside. The Assumptions tab is structured to mirror the 3-Statement SaaS model: paste your Base assumptions directly from that model, then adjust the Downside and Upside columns. The Scenario Output tab shows revenue, EBITDA, and cash across all three scenarios side by side. The Sensitivity Table isolates the impact of each variable independently.</t>
  </si>
  <si>
    <t xml:space="preserve">DATA FLOW</t>
  </si>
  <si>
    <t xml:space="preserve">⚙️ Scenario Inputs</t>
  </si>
  <si>
    <t xml:space="preserve">Enter Downside, Base, and Upside values for 5 key variables. Base = your forecast. Downside/Upside = stress scenarios.</t>
  </si>
  <si>
    <t xml:space="preserve">Feeds Scenario Output</t>
  </si>
  <si>
    <t xml:space="preserve">📊 Scenario Output</t>
  </si>
  <si>
    <t xml:space="preserve">3-year P&amp;L for all three scenarios side by side. Revenue, gross profit, EBITDA, and net income.</t>
  </si>
  <si>
    <t xml:space="preserve">Feeds Sensitivity</t>
  </si>
  <si>
    <t xml:space="preserve">🌡️ Sensitivity Table</t>
  </si>
  <si>
    <t xml:space="preserve">Shows how EBITDA changes when each variable moves ±10%, ±20% independently. Tornado chart data.</t>
  </si>
  <si>
    <t xml:space="preserve">Feeds Dashboard</t>
  </si>
  <si>
    <t xml:space="preserve">📋 Summary</t>
  </si>
  <si>
    <t xml:space="preserve">Side-by-side scenario KPIs and tornado chart. Board-ready single page.</t>
  </si>
  <si>
    <t xml:space="preserve">Final output</t>
  </si>
  <si>
    <t xml:space="preserve">© 2025 EfuturesCFO.com  |  Scenario &amp; Sensitivity Model  |  Connects to 3-Statement SaaS Model</t>
  </si>
  <si>
    <t xml:space="preserve">⚙️  Scenario Inputs — 5 Key Variables × 3 Scenarios</t>
  </si>
  <si>
    <t xml:space="preserve">Base = your primary forecast. Downside = stress case. Upside = bull case. Blue cells = inputs.</t>
  </si>
  <si>
    <t xml:space="preserve">ASSUMPTION</t>
  </si>
  <si>
    <t xml:space="preserve">DOWNSIDE</t>
  </si>
  <si>
    <t xml:space="preserve">BASE</t>
  </si>
  <si>
    <t xml:space="preserve">UPSIDE</t>
  </si>
  <si>
    <t xml:space="preserve">NOTE</t>
  </si>
  <si>
    <t xml:space="preserve">A.  REVENUE GROWTH ASSUMPTIONS (Year 1, Year 2, Year 3)</t>
  </si>
  <si>
    <t xml:space="preserve">Variable</t>
  </si>
  <si>
    <t xml:space="preserve">Year 1</t>
  </si>
  <si>
    <t xml:space="preserve">Year 2</t>
  </si>
  <si>
    <t xml:space="preserve">Year 3</t>
  </si>
  <si>
    <t xml:space="preserve">ARR Growth Rate — Year 1</t>
  </si>
  <si>
    <t xml:space="preserve">New ARR + retention combined growth</t>
  </si>
  <si>
    <t xml:space="preserve">ARR Growth Rate — Year 2</t>
  </si>
  <si>
    <t xml:space="preserve">ARR Growth Rate — Year 3</t>
  </si>
  <si>
    <t xml:space="preserve">B.  MARGIN &amp; COST ASSUMPTIONS (applied each year)</t>
  </si>
  <si>
    <t xml:space="preserve">Gross Margin %</t>
  </si>
  <si>
    <t xml:space="preserve">Subscription gross margin</t>
  </si>
  <si>
    <t xml:space="preserve">S&amp;M Expense (% of Rev)</t>
  </si>
  <si>
    <t xml:space="preserve">Sales &amp; marketing intensity</t>
  </si>
  <si>
    <t xml:space="preserve">R&amp;D Expense (% of Rev)</t>
  </si>
  <si>
    <t xml:space="preserve">R&amp;D investment rate</t>
  </si>
  <si>
    <t xml:space="preserve">G&amp;A Expense (% of Rev)</t>
  </si>
  <si>
    <t xml:space="preserve">G&amp;A as % of revenue</t>
  </si>
  <si>
    <t xml:space="preserve">C.  STARTING ARR &amp; REVENUE BASE</t>
  </si>
  <si>
    <t xml:space="preserve">Opening ARR Year 1 ($)</t>
  </si>
  <si>
    <t xml:space="preserve">Same for all scenarios unless you change</t>
  </si>
  <si>
    <t xml:space="preserve">Professional Services Rev ($)</t>
  </si>
  <si>
    <t xml:space="preserve">Services revenue Year 1</t>
  </si>
  <si>
    <t xml:space="preserve">📊  Scenario Output — 3-Year P&amp;L Across All Scenarios</t>
  </si>
  <si>
    <t xml:space="preserve">All scenarios auto-calculate from ⚙️ Scenario Inputs. No editing needed here.</t>
  </si>
  <si>
    <t xml:space="preserve">METRIC</t>
  </si>
  <si>
    <t xml:space="preserve">ARR ($)</t>
  </si>
  <si>
    <t xml:space="preserve">Total Revenue ($)</t>
  </si>
  <si>
    <t xml:space="preserve">Gross Profit ($)</t>
  </si>
  <si>
    <t xml:space="preserve">EBITDA ($)</t>
  </si>
  <si>
    <t xml:space="preserve">EBITDA Margin %</t>
  </si>
  <si>
    <t xml:space="preserve">🌡️  Sensitivity Table — Year 3 EBITDA Impact by Variable</t>
  </si>
  <si>
    <t xml:space="preserve">Shows EBITDA change when each variable is stressed independently. Basis for tornado chart.</t>
  </si>
  <si>
    <t xml:space="preserve">VARIABLE</t>
  </si>
  <si>
    <t xml:space="preserve">−20%</t>
  </si>
  <si>
    <t xml:space="preserve">−10%</t>
  </si>
  <si>
    <t xml:space="preserve">BASE (0%)</t>
  </si>
  <si>
    <r>
      <rPr>
        <b val="true"/>
        <sz val="9"/>
        <color rgb="FF0F172A"/>
        <rFont val="Noto Sans CJK SC"/>
        <family val="2"/>
      </rPr>
      <t xml:space="preserve">＋</t>
    </r>
    <r>
      <rPr>
        <b val="true"/>
        <sz val="9"/>
        <color rgb="FF0F172A"/>
        <rFont val="Calibri"/>
        <family val="0"/>
        <charset val="1"/>
      </rPr>
      <t xml:space="preserve">10%</t>
    </r>
  </si>
  <si>
    <r>
      <rPr>
        <b val="true"/>
        <sz val="9"/>
        <color rgb="FF0F172A"/>
        <rFont val="Noto Sans CJK SC"/>
        <family val="2"/>
      </rPr>
      <t xml:space="preserve">＋</t>
    </r>
    <r>
      <rPr>
        <b val="true"/>
        <sz val="9"/>
        <color rgb="FF0F172A"/>
        <rFont val="Calibri"/>
        <family val="0"/>
        <charset val="1"/>
      </rPr>
      <t xml:space="preserve">20%</t>
    </r>
  </si>
  <si>
    <t xml:space="preserve">ARR Growth Rate</t>
  </si>
  <si>
    <t xml:space="preserve">S&amp;M % of Revenue</t>
  </si>
  <si>
    <t xml:space="preserve">R&amp;D % of Revenue</t>
  </si>
  <si>
    <t xml:space="preserve">G&amp;A % of Revenue</t>
  </si>
  <si>
    <t xml:space="preserve">ℹ  Tornado chart: sort rows by absolute delta between −20% and +20% columns to see highest-impact variables.</t>
  </si>
  <si>
    <t xml:space="preserve">TORNADO CHART DATA  (EBITDA delta from Base at ±20%)</t>
  </si>
  <si>
    <t xml:space="preserve">DOWNSIDE (−20%)</t>
  </si>
  <si>
    <t xml:space="preserve">UPSIDE (+20%)</t>
  </si>
  <si>
    <t xml:space="preserve">DELTA RANGE</t>
  </si>
  <si>
    <t xml:space="preserve">📋  Scenario Summary — Board Presentation View</t>
  </si>
  <si>
    <t xml:space="preserve">Year 3 outcomes across all three scenarios. Auto-populated from model.</t>
  </si>
  <si>
    <t xml:space="preserve">METRIC  (Year 3)</t>
  </si>
  <si>
    <t xml:space="preserve">ℹ  Year 3 figures shown. Navigate to 📊 Scenario Output for all three years. Tornado chart in 🌡️ Sensitivity Table.</t>
  </si>
  <si>
    <t xml:space="preserve">© 2025 EfuturesCFO.com  |  Scenario &amp; Sensitivity Model  |  Not financial advice</t>
  </si>
</sst>
</file>

<file path=xl/styles.xml><?xml version="1.0" encoding="utf-8"?>
<styleSheet xmlns="http://schemas.openxmlformats.org/spreadsheetml/2006/main">
  <numFmts count="3">
    <numFmt numFmtId="164" formatCode="General"/>
    <numFmt numFmtId="165" formatCode="0.0%;\(0.0%\);\-"/>
    <numFmt numFmtId="166" formatCode="\$#,##0;&quot;($&quot;#,##0\);\-"/>
  </numFmts>
  <fonts count="35">
    <font>
      <sz val="11"/>
      <color theme="1"/>
      <name val="Calibri"/>
      <family val="2"/>
      <charset val="1"/>
    </font>
    <font>
      <sz val="10"/>
      <name val="Arial"/>
      <family val="0"/>
    </font>
    <font>
      <sz val="10"/>
      <name val="Arial"/>
      <family val="0"/>
    </font>
    <font>
      <sz val="10"/>
      <name val="Arial"/>
      <family val="0"/>
    </font>
    <font>
      <b val="true"/>
      <sz val="14"/>
      <color rgb="FFFFFFFF"/>
      <name val="Calibri"/>
      <family val="0"/>
      <charset val="1"/>
    </font>
    <font>
      <i val="true"/>
      <sz val="9"/>
      <color rgb="FFC9A84C"/>
      <name val="Calibri"/>
      <family val="0"/>
      <charset val="1"/>
    </font>
    <font>
      <b val="true"/>
      <sz val="11"/>
      <color rgb="FF0F172A"/>
      <name val="Calibri"/>
      <family val="0"/>
      <charset val="1"/>
    </font>
    <font>
      <sz val="10"/>
      <color rgb="FF0F172A"/>
      <name val="Calibri"/>
      <family val="0"/>
      <charset val="1"/>
    </font>
    <font>
      <b val="true"/>
      <sz val="10"/>
      <color rgb="FF1D4ED8"/>
      <name val="Calibri"/>
      <family val="0"/>
      <charset val="1"/>
    </font>
    <font>
      <b val="true"/>
      <i val="true"/>
      <sz val="10"/>
      <color rgb="FF166534"/>
      <name val="Calibri"/>
      <family val="0"/>
      <charset val="1"/>
    </font>
    <font>
      <i val="true"/>
      <sz val="8"/>
      <color rgb="FF475569"/>
      <name val="Calibri"/>
      <family val="0"/>
      <charset val="1"/>
    </font>
    <font>
      <b val="true"/>
      <sz val="9"/>
      <color rgb="FFFFFFFF"/>
      <name val="Calibri"/>
      <family val="0"/>
      <charset val="1"/>
    </font>
    <font>
      <b val="true"/>
      <sz val="9"/>
      <color rgb="FF991B1B"/>
      <name val="Calibri"/>
      <family val="0"/>
      <charset val="1"/>
    </font>
    <font>
      <b val="true"/>
      <sz val="9"/>
      <color rgb="FF166534"/>
      <name val="Calibri"/>
      <family val="0"/>
      <charset val="1"/>
    </font>
    <font>
      <b val="true"/>
      <sz val="9"/>
      <color rgb="FF1D4ED8"/>
      <name val="Calibri"/>
      <family val="0"/>
      <charset val="1"/>
    </font>
    <font>
      <b val="true"/>
      <sz val="9"/>
      <color rgb="FF475569"/>
      <name val="Calibri"/>
      <family val="0"/>
      <charset val="1"/>
    </font>
    <font>
      <b val="true"/>
      <sz val="10"/>
      <color rgb="FFFFFFFF"/>
      <name val="Calibri"/>
      <family val="0"/>
      <charset val="1"/>
    </font>
    <font>
      <b val="true"/>
      <sz val="10"/>
      <color rgb="FF991B1B"/>
      <name val="Calibri"/>
      <family val="0"/>
      <charset val="1"/>
    </font>
    <font>
      <b val="true"/>
      <sz val="10"/>
      <color rgb="FF166534"/>
      <name val="Calibri"/>
      <family val="0"/>
      <charset val="1"/>
    </font>
    <font>
      <b val="true"/>
      <sz val="8"/>
      <color rgb="FFFFFFFF"/>
      <name val="Calibri"/>
      <family val="0"/>
      <charset val="1"/>
    </font>
    <font>
      <b val="true"/>
      <sz val="10"/>
      <color rgb="FF0F766E"/>
      <name val="Calibri"/>
      <family val="0"/>
      <charset val="1"/>
    </font>
    <font>
      <b val="true"/>
      <sz val="11"/>
      <color rgb="FF0F766E"/>
      <name val="Calibri"/>
      <family val="0"/>
      <charset val="1"/>
    </font>
    <font>
      <b val="true"/>
      <sz val="11"/>
      <color rgb="FF166534"/>
      <name val="Calibri"/>
      <family val="0"/>
      <charset val="1"/>
    </font>
    <font>
      <b val="true"/>
      <sz val="9"/>
      <color rgb="FF0F172A"/>
      <name val="Calibri"/>
      <family val="0"/>
      <charset val="1"/>
    </font>
    <font>
      <b val="true"/>
      <sz val="9"/>
      <color rgb="FF0F172A"/>
      <name val="Noto Sans CJK SC"/>
      <family val="2"/>
    </font>
    <font>
      <b val="true"/>
      <sz val="10"/>
      <color rgb="FF0F172A"/>
      <name val="Calibri"/>
      <family val="0"/>
      <charset val="1"/>
    </font>
    <font>
      <sz val="10"/>
      <color rgb="FF991B1B"/>
      <name val="Calibri"/>
      <family val="0"/>
      <charset val="1"/>
    </font>
    <font>
      <sz val="10"/>
      <color rgb="FF166534"/>
      <name val="Calibri"/>
      <family val="0"/>
      <charset val="1"/>
    </font>
    <font>
      <b val="true"/>
      <sz val="10"/>
      <color rgb="FF92400E"/>
      <name val="Calibri"/>
      <family val="0"/>
      <charset val="1"/>
    </font>
    <font>
      <b val="true"/>
      <sz val="18"/>
      <color rgb="FF000000"/>
      <name val="Calibri"/>
      <family val="2"/>
    </font>
    <font>
      <sz val="10"/>
      <color rgb="FF000000"/>
      <name val="Calibri"/>
      <family val="2"/>
    </font>
    <font>
      <b val="true"/>
      <sz val="12"/>
      <color rgb="FF991B1B"/>
      <name val="Calibri"/>
      <family val="0"/>
      <charset val="1"/>
    </font>
    <font>
      <b val="true"/>
      <sz val="12"/>
      <color rgb="FF166534"/>
      <name val="Calibri"/>
      <family val="0"/>
      <charset val="1"/>
    </font>
    <font>
      <b val="true"/>
      <sz val="12"/>
      <color rgb="FF1D4ED8"/>
      <name val="Calibri"/>
      <family val="0"/>
      <charset val="1"/>
    </font>
    <font>
      <b val="true"/>
      <sz val="9"/>
      <color rgb="FF92400E"/>
      <name val="Calibri"/>
      <family val="0"/>
      <charset val="1"/>
    </font>
  </fonts>
  <fills count="13">
    <fill>
      <patternFill patternType="none"/>
    </fill>
    <fill>
      <patternFill patternType="gray125"/>
    </fill>
    <fill>
      <patternFill patternType="solid">
        <fgColor rgb="FF0F172A"/>
        <bgColor rgb="FF000000"/>
      </patternFill>
    </fill>
    <fill>
      <patternFill patternType="solid">
        <fgColor rgb="FFC9A84C"/>
        <bgColor rgb="FF99CC00"/>
      </patternFill>
    </fill>
    <fill>
      <patternFill patternType="solid">
        <fgColor rgb="FFFFFFFF"/>
        <bgColor rgb="FFF8FAFC"/>
      </patternFill>
    </fill>
    <fill>
      <patternFill patternType="solid">
        <fgColor rgb="FFF8FAFC"/>
        <bgColor rgb="FFFFFFFF"/>
      </patternFill>
    </fill>
    <fill>
      <patternFill patternType="solid">
        <fgColor rgb="FFFEE2E2"/>
        <bgColor rgb="FFFEF3C7"/>
      </patternFill>
    </fill>
    <fill>
      <patternFill patternType="solid">
        <fgColor rgb="FFDCFCE7"/>
        <bgColor rgb="FFCCFBF1"/>
      </patternFill>
    </fill>
    <fill>
      <patternFill patternType="solid">
        <fgColor rgb="FFDBEAFE"/>
        <bgColor rgb="FFEFF6FF"/>
      </patternFill>
    </fill>
    <fill>
      <patternFill patternType="solid">
        <fgColor rgb="FF475569"/>
        <bgColor rgb="FF333399"/>
      </patternFill>
    </fill>
    <fill>
      <patternFill patternType="solid">
        <fgColor rgb="FFEFF6FF"/>
        <bgColor rgb="FFF8FAFC"/>
      </patternFill>
    </fill>
    <fill>
      <patternFill patternType="solid">
        <fgColor rgb="FFFEF3C7"/>
        <bgColor rgb="FFFEE2E2"/>
      </patternFill>
    </fill>
    <fill>
      <patternFill patternType="solid">
        <fgColor rgb="FFCCFBF1"/>
        <bgColor rgb="FFDCFCE7"/>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2" shrinkToFit="false"/>
      <protection locked="true" hidden="false"/>
    </xf>
    <xf numFmtId="164" fontId="5" fillId="2" borderId="0" xfId="0" applyFont="true" applyBorder="true" applyAlignment="true" applyProtection="false">
      <alignment horizontal="left" vertical="center" textRotation="0" wrapText="true" indent="2"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1" shrinkToFit="false"/>
      <protection locked="true" hidden="false"/>
    </xf>
    <xf numFmtId="164" fontId="7" fillId="0" borderId="0" xfId="0" applyFont="true" applyBorder="true" applyAlignment="true" applyProtection="false">
      <alignment horizontal="left" vertical="center" textRotation="0" wrapText="true" indent="1" shrinkToFit="false"/>
      <protection locked="true" hidden="false"/>
    </xf>
    <xf numFmtId="164" fontId="8" fillId="4" borderId="1" xfId="0" applyFont="true" applyBorder="true" applyAlignment="true" applyProtection="false">
      <alignment horizontal="left" vertical="center" textRotation="0" wrapText="true" indent="1" shrinkToFit="false"/>
      <protection locked="true" hidden="false"/>
    </xf>
    <xf numFmtId="164" fontId="7" fillId="4" borderId="1" xfId="0" applyFont="true" applyBorder="true" applyAlignment="true" applyProtection="false">
      <alignment horizontal="left" vertical="center" textRotation="0" wrapText="true" indent="1" shrinkToFit="false"/>
      <protection locked="true" hidden="false"/>
    </xf>
    <xf numFmtId="164" fontId="9" fillId="4" borderId="1" xfId="0" applyFont="true" applyBorder="true" applyAlignment="true" applyProtection="false">
      <alignment horizontal="left" vertical="center" textRotation="0" wrapText="true" indent="1" shrinkToFit="false"/>
      <protection locked="true" hidden="false"/>
    </xf>
    <xf numFmtId="164" fontId="8" fillId="5" borderId="1" xfId="0" applyFont="true" applyBorder="true" applyAlignment="true" applyProtection="false">
      <alignment horizontal="left" vertical="center" textRotation="0" wrapText="true" indent="1" shrinkToFit="false"/>
      <protection locked="true" hidden="false"/>
    </xf>
    <xf numFmtId="164" fontId="7" fillId="5" borderId="1" xfId="0" applyFont="true" applyBorder="true" applyAlignment="true" applyProtection="false">
      <alignment horizontal="left" vertical="center" textRotation="0" wrapText="true" indent="1" shrinkToFit="false"/>
      <protection locked="true" hidden="false"/>
    </xf>
    <xf numFmtId="164" fontId="9" fillId="5" borderId="1" xfId="0" applyFont="true" applyBorder="true" applyAlignment="true" applyProtection="false">
      <alignment horizontal="left" vertical="center" textRotation="0" wrapText="true" indent="1"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center" vertical="center" textRotation="0" wrapText="true" indent="0" shrinkToFit="false"/>
      <protection locked="true" hidden="false"/>
    </xf>
    <xf numFmtId="164" fontId="12" fillId="6" borderId="0" xfId="0" applyFont="true" applyBorder="false" applyAlignment="true" applyProtection="false">
      <alignment horizontal="center" vertical="center" textRotation="0" wrapText="true" indent="0" shrinkToFit="false"/>
      <protection locked="true" hidden="false"/>
    </xf>
    <xf numFmtId="164" fontId="13" fillId="7" borderId="0" xfId="0" applyFont="true" applyBorder="false" applyAlignment="true" applyProtection="false">
      <alignment horizontal="center" vertical="center" textRotation="0" wrapText="true" indent="0" shrinkToFit="false"/>
      <protection locked="true" hidden="false"/>
    </xf>
    <xf numFmtId="164" fontId="14" fillId="8" borderId="0" xfId="0" applyFont="true" applyBorder="false" applyAlignment="true" applyProtection="false">
      <alignment horizontal="center" vertical="center" textRotation="0" wrapText="true" indent="0" shrinkToFit="false"/>
      <protection locked="true" hidden="false"/>
    </xf>
    <xf numFmtId="164" fontId="15" fillId="5" borderId="0" xfId="0" applyFont="true" applyBorder="false" applyAlignment="true" applyProtection="false">
      <alignment horizontal="center" vertical="center" textRotation="0" wrapText="true" indent="0" shrinkToFit="false"/>
      <protection locked="true" hidden="false"/>
    </xf>
    <xf numFmtId="164" fontId="11" fillId="9" borderId="0" xfId="0" applyFont="true" applyBorder="true" applyAlignment="true" applyProtection="false">
      <alignment horizontal="left" vertical="center" textRotation="0" wrapText="true" indent="2" shrinkToFit="false"/>
      <protection locked="true" hidden="false"/>
    </xf>
    <xf numFmtId="164" fontId="16" fillId="9" borderId="1" xfId="0" applyFont="true" applyBorder="true" applyAlignment="true" applyProtection="false">
      <alignment horizontal="left" vertical="center" textRotation="0" wrapText="true" indent="1" shrinkToFit="false"/>
      <protection locked="true" hidden="false"/>
    </xf>
    <xf numFmtId="164" fontId="16" fillId="9" borderId="1" xfId="0" applyFont="true" applyBorder="true" applyAlignment="true" applyProtection="false">
      <alignment horizontal="center" vertical="center" textRotation="0" wrapText="false" indent="0" shrinkToFit="false"/>
      <protection locked="true" hidden="false"/>
    </xf>
    <xf numFmtId="165" fontId="8" fillId="10" borderId="1" xfId="0" applyFont="true" applyBorder="true" applyAlignment="true" applyProtection="false">
      <alignment horizontal="right" vertical="center" textRotation="0" wrapText="false" indent="0" shrinkToFit="false"/>
      <protection locked="true" hidden="false"/>
    </xf>
    <xf numFmtId="164" fontId="10" fillId="5" borderId="1" xfId="0" applyFont="true" applyBorder="true" applyAlignment="true" applyProtection="false">
      <alignment horizontal="left" vertical="center" textRotation="0" wrapText="true" indent="1" shrinkToFit="false"/>
      <protection locked="true" hidden="false"/>
    </xf>
    <xf numFmtId="164" fontId="7" fillId="11" borderId="1" xfId="0" applyFont="true" applyBorder="true" applyAlignment="true" applyProtection="false">
      <alignment horizontal="left" vertical="center" textRotation="0" wrapText="true" indent="1" shrinkToFit="false"/>
      <protection locked="true" hidden="false"/>
    </xf>
    <xf numFmtId="164" fontId="10" fillId="11" borderId="1" xfId="0" applyFont="true" applyBorder="true" applyAlignment="true" applyProtection="false">
      <alignment horizontal="left" vertical="center" textRotation="0" wrapText="true" indent="1" shrinkToFit="false"/>
      <protection locked="true" hidden="false"/>
    </xf>
    <xf numFmtId="166" fontId="8" fillId="10" borderId="1" xfId="0" applyFont="true" applyBorder="true" applyAlignment="true" applyProtection="false">
      <alignment horizontal="right" vertical="center" textRotation="0" wrapText="false" indent="0" shrinkToFit="false"/>
      <protection locked="true" hidden="false"/>
    </xf>
    <xf numFmtId="164" fontId="16" fillId="2" borderId="1" xfId="0" applyFont="true" applyBorder="true" applyAlignment="true" applyProtection="false">
      <alignment horizontal="left" vertical="center" textRotation="0" wrapText="true" indent="1" shrinkToFit="false"/>
      <protection locked="true" hidden="false"/>
    </xf>
    <xf numFmtId="164" fontId="17" fillId="6" borderId="0" xfId="0" applyFont="true" applyBorder="true" applyAlignment="true" applyProtection="false">
      <alignment horizontal="center" vertical="center" textRotation="0" wrapText="false" indent="0" shrinkToFit="false"/>
      <protection locked="true" hidden="false"/>
    </xf>
    <xf numFmtId="164" fontId="18" fillId="7" borderId="0" xfId="0" applyFont="true" applyBorder="true" applyAlignment="true" applyProtection="false">
      <alignment horizontal="center" vertical="center" textRotation="0" wrapText="false" indent="0" shrinkToFit="false"/>
      <protection locked="true" hidden="false"/>
    </xf>
    <xf numFmtId="164" fontId="8" fillId="8" borderId="0"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false" applyProtection="false">
      <alignment horizontal="general" vertical="bottom" textRotation="0" wrapText="false" indent="0" shrinkToFit="false"/>
      <protection locked="true" hidden="false"/>
    </xf>
    <xf numFmtId="164" fontId="19" fillId="9" borderId="1" xfId="0" applyFont="true" applyBorder="true" applyAlignment="true" applyProtection="false">
      <alignment horizontal="center" vertical="center" textRotation="0" wrapText="false" indent="0" shrinkToFit="false"/>
      <protection locked="true" hidden="false"/>
    </xf>
    <xf numFmtId="164" fontId="20" fillId="12" borderId="1" xfId="0" applyFont="true" applyBorder="true" applyAlignment="true" applyProtection="false">
      <alignment horizontal="left" vertical="center" textRotation="0" wrapText="true" indent="1" shrinkToFit="false"/>
      <protection locked="true" hidden="false"/>
    </xf>
    <xf numFmtId="166" fontId="21" fillId="6" borderId="1" xfId="0" applyFont="true" applyBorder="true" applyAlignment="true" applyProtection="false">
      <alignment horizontal="right" vertical="center" textRotation="0" wrapText="false" indent="0" shrinkToFit="false"/>
      <protection locked="true" hidden="false"/>
    </xf>
    <xf numFmtId="166" fontId="21" fillId="7" borderId="1" xfId="0" applyFont="true" applyBorder="true" applyAlignment="true" applyProtection="false">
      <alignment horizontal="right" vertical="center" textRotation="0" wrapText="false" indent="0" shrinkToFit="false"/>
      <protection locked="true" hidden="false"/>
    </xf>
    <xf numFmtId="166" fontId="21" fillId="8" borderId="1" xfId="0" applyFont="true" applyBorder="true" applyAlignment="true" applyProtection="false">
      <alignment horizontal="right" vertical="center" textRotation="0" wrapText="false" indent="0" shrinkToFit="false"/>
      <protection locked="true" hidden="false"/>
    </xf>
    <xf numFmtId="166" fontId="7" fillId="6" borderId="1" xfId="0" applyFont="true" applyBorder="true" applyAlignment="true" applyProtection="false">
      <alignment horizontal="right" vertical="center" textRotation="0" wrapText="false" indent="0" shrinkToFit="false"/>
      <protection locked="true" hidden="false"/>
    </xf>
    <xf numFmtId="166" fontId="7" fillId="7" borderId="1" xfId="0" applyFont="true" applyBorder="true" applyAlignment="true" applyProtection="false">
      <alignment horizontal="right" vertical="center" textRotation="0" wrapText="false" indent="0" shrinkToFit="false"/>
      <protection locked="true" hidden="false"/>
    </xf>
    <xf numFmtId="166" fontId="7" fillId="8" borderId="1" xfId="0" applyFont="true" applyBorder="true" applyAlignment="true" applyProtection="false">
      <alignment horizontal="right" vertical="center" textRotation="0" wrapText="false" indent="0" shrinkToFit="false"/>
      <protection locked="true" hidden="false"/>
    </xf>
    <xf numFmtId="164" fontId="18" fillId="7" borderId="1" xfId="0" applyFont="true" applyBorder="true" applyAlignment="true" applyProtection="false">
      <alignment horizontal="left" vertical="center" textRotation="0" wrapText="true" indent="1" shrinkToFit="false"/>
      <protection locked="true" hidden="false"/>
    </xf>
    <xf numFmtId="166" fontId="22" fillId="6" borderId="1" xfId="0" applyFont="true" applyBorder="true" applyAlignment="true" applyProtection="false">
      <alignment horizontal="right" vertical="center" textRotation="0" wrapText="false" indent="0" shrinkToFit="false"/>
      <protection locked="true" hidden="false"/>
    </xf>
    <xf numFmtId="166" fontId="22" fillId="7" borderId="1" xfId="0" applyFont="true" applyBorder="true" applyAlignment="true" applyProtection="false">
      <alignment horizontal="right" vertical="center" textRotation="0" wrapText="false" indent="0" shrinkToFit="false"/>
      <protection locked="true" hidden="false"/>
    </xf>
    <xf numFmtId="166" fontId="22" fillId="8" borderId="1" xfId="0" applyFont="true" applyBorder="true" applyAlignment="true" applyProtection="false">
      <alignment horizontal="right" vertical="center" textRotation="0" wrapText="false" indent="0" shrinkToFit="false"/>
      <protection locked="true" hidden="false"/>
    </xf>
    <xf numFmtId="165" fontId="7" fillId="6" borderId="1" xfId="0" applyFont="true" applyBorder="true" applyAlignment="true" applyProtection="false">
      <alignment horizontal="right" vertical="center" textRotation="0" wrapText="false" indent="0" shrinkToFit="false"/>
      <protection locked="true" hidden="false"/>
    </xf>
    <xf numFmtId="165" fontId="7" fillId="7" borderId="1" xfId="0" applyFont="true" applyBorder="true" applyAlignment="true" applyProtection="false">
      <alignment horizontal="right" vertical="center" textRotation="0" wrapText="false" indent="0" shrinkToFit="false"/>
      <protection locked="true" hidden="false"/>
    </xf>
    <xf numFmtId="165" fontId="7" fillId="8" borderId="1" xfId="0" applyFont="true" applyBorder="true" applyAlignment="true" applyProtection="false">
      <alignment horizontal="right" vertical="center" textRotation="0" wrapText="false" indent="0" shrinkToFit="false"/>
      <protection locked="true" hidden="false"/>
    </xf>
    <xf numFmtId="164" fontId="23" fillId="6" borderId="0" xfId="0" applyFont="true" applyBorder="false" applyAlignment="true" applyProtection="false">
      <alignment horizontal="center" vertical="center" textRotation="0" wrapText="true" indent="0" shrinkToFit="false"/>
      <protection locked="true" hidden="false"/>
    </xf>
    <xf numFmtId="164" fontId="23" fillId="5" borderId="0" xfId="0" applyFont="true" applyBorder="false" applyAlignment="true" applyProtection="false">
      <alignment horizontal="center" vertical="center" textRotation="0" wrapText="true" indent="0" shrinkToFit="false"/>
      <protection locked="true" hidden="false"/>
    </xf>
    <xf numFmtId="164" fontId="24" fillId="7" borderId="0" xfId="0" applyFont="true" applyBorder="fals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false">
      <alignment horizontal="left" vertical="center" textRotation="0" wrapText="true" indent="1" shrinkToFit="false"/>
      <protection locked="true" hidden="false"/>
    </xf>
    <xf numFmtId="166" fontId="26" fillId="4" borderId="1" xfId="0" applyFont="true" applyBorder="true" applyAlignment="true" applyProtection="false">
      <alignment horizontal="right" vertical="center" textRotation="0" wrapText="false" indent="0" shrinkToFit="false"/>
      <protection locked="true" hidden="false"/>
    </xf>
    <xf numFmtId="166" fontId="25" fillId="4" borderId="1" xfId="0" applyFont="true" applyBorder="true" applyAlignment="true" applyProtection="false">
      <alignment horizontal="right" vertical="center" textRotation="0" wrapText="false" indent="0" shrinkToFit="false"/>
      <protection locked="true" hidden="false"/>
    </xf>
    <xf numFmtId="166" fontId="27" fillId="4" borderId="1" xfId="0" applyFont="true" applyBorder="true" applyAlignment="true" applyProtection="false">
      <alignment horizontal="right" vertical="center" textRotation="0" wrapText="false" indent="0" shrinkToFit="false"/>
      <protection locked="true" hidden="false"/>
    </xf>
    <xf numFmtId="164" fontId="25" fillId="5" borderId="1" xfId="0" applyFont="true" applyBorder="true" applyAlignment="true" applyProtection="false">
      <alignment horizontal="left" vertical="center" textRotation="0" wrapText="true" indent="1" shrinkToFit="false"/>
      <protection locked="true" hidden="false"/>
    </xf>
    <xf numFmtId="166" fontId="26" fillId="5" borderId="1" xfId="0" applyFont="true" applyBorder="true" applyAlignment="true" applyProtection="false">
      <alignment horizontal="right" vertical="center" textRotation="0" wrapText="false" indent="0" shrinkToFit="false"/>
      <protection locked="true" hidden="false"/>
    </xf>
    <xf numFmtId="166" fontId="25" fillId="5" borderId="1" xfId="0" applyFont="true" applyBorder="true" applyAlignment="true" applyProtection="false">
      <alignment horizontal="right" vertical="center" textRotation="0" wrapText="false" indent="0" shrinkToFit="false"/>
      <protection locked="true" hidden="false"/>
    </xf>
    <xf numFmtId="166" fontId="27" fillId="5" borderId="1" xfId="0" applyFont="true" applyBorder="true" applyAlignment="true" applyProtection="false">
      <alignment horizontal="right" vertical="center" textRotation="0" wrapText="false" indent="0" shrinkToFit="false"/>
      <protection locked="true" hidden="false"/>
    </xf>
    <xf numFmtId="164" fontId="28" fillId="0" borderId="0" xfId="0" applyFont="true" applyBorder="true" applyAlignment="true" applyProtection="false">
      <alignment horizontal="left" vertical="center" textRotation="0" wrapText="true" indent="1" shrinkToFit="false"/>
      <protection locked="true" hidden="false"/>
    </xf>
    <xf numFmtId="164" fontId="16" fillId="9" borderId="1" xfId="0" applyFont="true" applyBorder="true" applyAlignment="true" applyProtection="false">
      <alignment horizontal="center" vertical="center" textRotation="0" wrapText="true" indent="0" shrinkToFit="false"/>
      <protection locked="true" hidden="false"/>
    </xf>
    <xf numFmtId="166" fontId="26" fillId="6" borderId="1" xfId="0" applyFont="true" applyBorder="true" applyAlignment="true" applyProtection="false">
      <alignment horizontal="right" vertical="center" textRotation="0" wrapText="false" indent="0" shrinkToFit="false"/>
      <protection locked="true" hidden="false"/>
    </xf>
    <xf numFmtId="166" fontId="7" fillId="5" borderId="1" xfId="0" applyFont="true" applyBorder="true" applyAlignment="true" applyProtection="false">
      <alignment horizontal="right" vertical="center" textRotation="0" wrapText="false" indent="0" shrinkToFit="false"/>
      <protection locked="true" hidden="false"/>
    </xf>
    <xf numFmtId="166" fontId="27" fillId="7" borderId="1" xfId="0" applyFont="true" applyBorder="true" applyAlignment="true" applyProtection="false">
      <alignment horizontal="right" vertical="center" textRotation="0" wrapText="false" indent="0" shrinkToFit="false"/>
      <protection locked="true" hidden="false"/>
    </xf>
    <xf numFmtId="166" fontId="20" fillId="12" borderId="1" xfId="0" applyFont="true" applyBorder="true" applyAlignment="true" applyProtection="false">
      <alignment horizontal="right" vertical="center" textRotation="0" wrapText="false" indent="0" shrinkToFit="false"/>
      <protection locked="true" hidden="false"/>
    </xf>
    <xf numFmtId="164" fontId="17" fillId="6" borderId="0" xfId="0" applyFont="true" applyBorder="false" applyAlignment="true" applyProtection="false">
      <alignment horizontal="center" vertical="center" textRotation="0" wrapText="false" indent="0" shrinkToFit="false"/>
      <protection locked="true" hidden="false"/>
    </xf>
    <xf numFmtId="164" fontId="18" fillId="7" borderId="0" xfId="0" applyFont="true" applyBorder="false" applyAlignment="true" applyProtection="false">
      <alignment horizontal="center" vertical="center" textRotation="0" wrapText="false" indent="0" shrinkToFit="false"/>
      <protection locked="true" hidden="false"/>
    </xf>
    <xf numFmtId="164" fontId="8" fillId="8" borderId="0" xfId="0" applyFont="true" applyBorder="false" applyAlignment="true" applyProtection="false">
      <alignment horizontal="center" vertical="center" textRotation="0" wrapText="false" indent="0" shrinkToFit="false"/>
      <protection locked="true" hidden="false"/>
    </xf>
    <xf numFmtId="166" fontId="31" fillId="6" borderId="1" xfId="0" applyFont="true" applyBorder="true" applyAlignment="true" applyProtection="false">
      <alignment horizontal="right" vertical="center" textRotation="0" wrapText="false" indent="0" shrinkToFit="false"/>
      <protection locked="true" hidden="false"/>
    </xf>
    <xf numFmtId="166" fontId="32" fillId="7" borderId="1" xfId="0" applyFont="true" applyBorder="true" applyAlignment="true" applyProtection="false">
      <alignment horizontal="right" vertical="center" textRotation="0" wrapText="false" indent="0" shrinkToFit="false"/>
      <protection locked="true" hidden="false"/>
    </xf>
    <xf numFmtId="166" fontId="33" fillId="8" borderId="1" xfId="0" applyFont="true" applyBorder="true" applyAlignment="true" applyProtection="false">
      <alignment horizontal="right" vertical="center" textRotation="0" wrapText="false" indent="0" shrinkToFit="false"/>
      <protection locked="true" hidden="false"/>
    </xf>
    <xf numFmtId="165" fontId="31" fillId="6" borderId="1" xfId="0" applyFont="true" applyBorder="true" applyAlignment="true" applyProtection="false">
      <alignment horizontal="right" vertical="center" textRotation="0" wrapText="false" indent="0" shrinkToFit="false"/>
      <protection locked="true" hidden="false"/>
    </xf>
    <xf numFmtId="165" fontId="32" fillId="7" borderId="1" xfId="0" applyFont="true" applyBorder="true" applyAlignment="true" applyProtection="false">
      <alignment horizontal="right" vertical="center" textRotation="0" wrapText="false" indent="0" shrinkToFit="false"/>
      <protection locked="true" hidden="false"/>
    </xf>
    <xf numFmtId="165" fontId="33" fillId="8" borderId="1" xfId="0" applyFont="true" applyBorder="true" applyAlignment="true" applyProtection="false">
      <alignment horizontal="right" vertical="center" textRotation="0" wrapText="false" indent="0" shrinkToFit="false"/>
      <protection locked="true" hidden="false"/>
    </xf>
    <xf numFmtId="164" fontId="34" fillId="0" borderId="0" xfId="0" applyFont="true" applyBorder="true" applyAlignment="true" applyProtection="false">
      <alignment horizontal="left" vertical="center"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DC2626"/>
      <rgbColor rgb="FF00FF00"/>
      <rgbColor rgb="FF0000FF"/>
      <rgbColor rgb="FFFFFF00"/>
      <rgbColor rgb="FFFF00FF"/>
      <rgbColor rgb="FF00FFFF"/>
      <rgbColor rgb="FF991B1B"/>
      <rgbColor rgb="FF166534"/>
      <rgbColor rgb="FF000080"/>
      <rgbColor rgb="FF808000"/>
      <rgbColor rgb="FF800080"/>
      <rgbColor rgb="FF0F766E"/>
      <rgbColor rgb="FFD9D9D9"/>
      <rgbColor rgb="FF878787"/>
      <rgbColor rgb="FF9999FF"/>
      <rgbColor rgb="FFB45309"/>
      <rgbColor rgb="FFFEF3C7"/>
      <rgbColor rgb="FFCCFBF1"/>
      <rgbColor rgb="FF660066"/>
      <rgbColor rgb="FFFF8080"/>
      <rgbColor rgb="FF1D4ED8"/>
      <rgbColor rgb="FFD1D5DB"/>
      <rgbColor rgb="FF000080"/>
      <rgbColor rgb="FFFF00FF"/>
      <rgbColor rgb="FFFFFF00"/>
      <rgbColor rgb="FF00FFFF"/>
      <rgbColor rgb="FF800080"/>
      <rgbColor rgb="FF800000"/>
      <rgbColor rgb="FF008080"/>
      <rgbColor rgb="FF0000FF"/>
      <rgbColor rgb="FF00CCFF"/>
      <rgbColor rgb="FFDCFCE7"/>
      <rgbColor rgb="FFDBEAFE"/>
      <rgbColor rgb="FFF8FAFC"/>
      <rgbColor rgb="FFEFF6FF"/>
      <rgbColor rgb="FFFF99CC"/>
      <rgbColor rgb="FFCC99FF"/>
      <rgbColor rgb="FFFEE2E2"/>
      <rgbColor rgb="FF3366FF"/>
      <rgbColor rgb="FF33CCCC"/>
      <rgbColor rgb="FF99CC00"/>
      <rgbColor rgb="FFFFCC00"/>
      <rgbColor rgb="FFC9A84C"/>
      <rgbColor rgb="FFFF6600"/>
      <rgbColor rgb="FF475569"/>
      <rgbColor rgb="FF94A3B8"/>
      <rgbColor rgb="FF003366"/>
      <rgbColor rgb="FF16A34A"/>
      <rgbColor rgb="FF0F172A"/>
      <rgbColor rgb="FF333300"/>
      <rgbColor rgb="FF92400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EBITDA Sensitivity — Tornado Chart</a:t>
            </a:r>
          </a:p>
        </c:rich>
      </c:tx>
      <c:overlay val="0"/>
      <c:spPr>
        <a:noFill/>
        <a:ln w="0">
          <a:noFill/>
        </a:ln>
      </c:spPr>
    </c:title>
    <c:autoTitleDeleted val="0"/>
    <c:plotArea>
      <c:barChart>
        <c:barDir val="bar"/>
        <c:grouping val="clustered"/>
        <c:varyColors val="0"/>
        <c:ser>
          <c:idx val="0"/>
          <c:order val="0"/>
          <c:tx>
            <c:strRef>
              <c:f>'🌡️ Sensitivity Table'!C14</c:f>
              <c:strCache>
                <c:ptCount val="1"/>
                <c:pt idx="0">
                  <c:v>DOWNSIDE (−20%)</c:v>
                </c:pt>
              </c:strCache>
            </c:strRef>
          </c:tx>
          <c:spPr>
            <a:solidFill>
              <a:srgbClr val="dc2626"/>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 Sensitivity Table'!$B$15:$B$19</c:f>
              <c:strCache>
                <c:ptCount val="5"/>
                <c:pt idx="0">
                  <c:v>ARR Growth Rate</c:v>
                </c:pt>
                <c:pt idx="1">
                  <c:v>Gross Margin %</c:v>
                </c:pt>
                <c:pt idx="2">
                  <c:v>S&amp;M % of Revenue</c:v>
                </c:pt>
                <c:pt idx="3">
                  <c:v>R&amp;D % of Revenue</c:v>
                </c:pt>
                <c:pt idx="4">
                  <c:v>G&amp;A % of Revenue</c:v>
                </c:pt>
              </c:strCache>
            </c:strRef>
          </c:cat>
          <c:val>
            <c:numRef>
              <c:f>'🌡️ Sensitivity Table'!$C$15:$C$19</c:f>
              <c:numCache>
                <c:formatCode>\$#,##0;"($"#,##0\);\-</c:formatCode>
                <c:ptCount val="5"/>
                <c:pt idx="0">
                  <c:v>2788972</c:v>
                </c:pt>
                <c:pt idx="1">
                  <c:v>2665548.00000002</c:v>
                </c:pt>
                <c:pt idx="2">
                  <c:v>21327300</c:v>
                </c:pt>
                <c:pt idx="3">
                  <c:v>19194516</c:v>
                </c:pt>
                <c:pt idx="4">
                  <c:v>17594928</c:v>
                </c:pt>
              </c:numCache>
            </c:numRef>
          </c:val>
        </c:ser>
        <c:ser>
          <c:idx val="1"/>
          <c:order val="1"/>
          <c:tx>
            <c:strRef>
              <c:f>'🌡️ Sensitivity Table'!D14</c:f>
              <c:strCache>
                <c:ptCount val="1"/>
                <c:pt idx="0">
                  <c:v>BASE</c:v>
                </c:pt>
              </c:strCache>
            </c:strRef>
          </c:tx>
          <c:spPr>
            <a:solidFill>
              <a:srgbClr val="94a3b8"/>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 Sensitivity Table'!$B$15:$B$19</c:f>
              <c:strCache>
                <c:ptCount val="5"/>
                <c:pt idx="0">
                  <c:v>ARR Growth Rate</c:v>
                </c:pt>
                <c:pt idx="1">
                  <c:v>Gross Margin %</c:v>
                </c:pt>
                <c:pt idx="2">
                  <c:v>S&amp;M % of Revenue</c:v>
                </c:pt>
                <c:pt idx="3">
                  <c:v>R&amp;D % of Revenue</c:v>
                </c:pt>
                <c:pt idx="4">
                  <c:v>G&amp;A % of Revenue</c:v>
                </c:pt>
              </c:strCache>
            </c:strRef>
          </c:cat>
          <c:val>
            <c:numRef>
              <c:f>'🌡️ Sensitivity Table'!$D$15:$D$19</c:f>
              <c:numCache>
                <c:formatCode>\$#,##0;"($"#,##0\);\-</c:formatCode>
                <c:ptCount val="5"/>
                <c:pt idx="0">
                  <c:v>15995340</c:v>
                </c:pt>
                <c:pt idx="1">
                  <c:v>15995340</c:v>
                </c:pt>
                <c:pt idx="2">
                  <c:v>15995340</c:v>
                </c:pt>
                <c:pt idx="3">
                  <c:v>15995340</c:v>
                </c:pt>
                <c:pt idx="4">
                  <c:v>15995340</c:v>
                </c:pt>
              </c:numCache>
            </c:numRef>
          </c:val>
        </c:ser>
        <c:ser>
          <c:idx val="2"/>
          <c:order val="2"/>
          <c:tx>
            <c:strRef>
              <c:f>'🌡️ Sensitivity Table'!E14</c:f>
              <c:strCache>
                <c:ptCount val="1"/>
                <c:pt idx="0">
                  <c:v>UPSIDE (+20%)</c:v>
                </c:pt>
              </c:strCache>
            </c:strRef>
          </c:tx>
          <c:spPr>
            <a:solidFill>
              <a:srgbClr val="16a34a"/>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 Sensitivity Table'!$B$15:$B$19</c:f>
              <c:strCache>
                <c:ptCount val="5"/>
                <c:pt idx="0">
                  <c:v>ARR Growth Rate</c:v>
                </c:pt>
                <c:pt idx="1">
                  <c:v>Gross Margin %</c:v>
                </c:pt>
                <c:pt idx="2">
                  <c:v>S&amp;M % of Revenue</c:v>
                </c:pt>
                <c:pt idx="3">
                  <c:v>R&amp;D % of Revenue</c:v>
                </c:pt>
                <c:pt idx="4">
                  <c:v>G&amp;A % of Revenue</c:v>
                </c:pt>
              </c:strCache>
            </c:strRef>
          </c:cat>
          <c:val>
            <c:numRef>
              <c:f>'🌡️ Sensitivity Table'!$E$15:$E$19</c:f>
              <c:numCache>
                <c:formatCode>\$#,##0;"($"#,##0\);\-</c:formatCode>
                <c:ptCount val="5"/>
                <c:pt idx="0">
                  <c:v>4516908</c:v>
                </c:pt>
                <c:pt idx="1">
                  <c:v>29325132</c:v>
                </c:pt>
                <c:pt idx="2">
                  <c:v>10663380</c:v>
                </c:pt>
                <c:pt idx="3">
                  <c:v>12796164</c:v>
                </c:pt>
                <c:pt idx="4">
                  <c:v>14395752</c:v>
                </c:pt>
              </c:numCache>
            </c:numRef>
          </c:val>
        </c:ser>
        <c:gapWidth val="150"/>
        <c:overlap val="0"/>
        <c:axId val="27150205"/>
        <c:axId val="3474538"/>
      </c:barChart>
      <c:catAx>
        <c:axId val="27150205"/>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3474538"/>
        <c:crosses val="autoZero"/>
        <c:auto val="1"/>
        <c:lblAlgn val="ctr"/>
        <c:lblOffset val="100"/>
        <c:noMultiLvlLbl val="0"/>
      </c:catAx>
      <c:valAx>
        <c:axId val="3474538"/>
        <c:scaling>
          <c:orientation val="minMax"/>
        </c:scaling>
        <c:delete val="0"/>
        <c:axPos val="l"/>
        <c:majorGridlines>
          <c:spPr>
            <a:ln w="9360">
              <a:solidFill>
                <a:srgbClr val="878787"/>
              </a:solidFill>
              <a:round/>
            </a:ln>
          </c:spPr>
        </c:majorGridlines>
        <c:numFmt formatCode="\$#,##0;&quot;($&quot;#,##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27150205"/>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21</xdr:row>
      <xdr:rowOff>0</xdr:rowOff>
    </xdr:from>
    <xdr:to>
      <xdr:col>8</xdr:col>
      <xdr:colOff>574200</xdr:colOff>
      <xdr:row>47</xdr:row>
      <xdr:rowOff>86760</xdr:rowOff>
    </xdr:to>
    <xdr:graphicFrame>
      <xdr:nvGraphicFramePr>
        <xdr:cNvPr id="0" name="Chart 1"/>
        <xdr:cNvGraphicFramePr/>
      </xdr:nvGraphicFramePr>
      <xdr:xfrm>
        <a:off x="106200" y="5010120"/>
        <a:ext cx="7199640" cy="50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172A"/>
    <pageSetUpPr fitToPage="false"/>
  </sheetPr>
  <dimension ref="B1: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24"/>
    <col collapsed="false" customWidth="true" hidden="false" outlineLevel="0" max="3" min="3" style="0" width="46"/>
    <col collapsed="false" customWidth="true" hidden="false" outlineLevel="0" max="4" min="4" style="0" width="22"/>
    <col collapsed="false" customWidth="true" hidden="false" outlineLevel="0" max="5" min="5" style="0" width="4"/>
  </cols>
  <sheetData>
    <row r="1" customFormat="false" ht="27.75" hidden="false" customHeight="true" outlineLevel="0" collapsed="false">
      <c r="B1" s="1" t="s">
        <v>0</v>
      </c>
      <c r="C1" s="1"/>
      <c r="D1" s="1"/>
    </row>
    <row r="2" customFormat="false" ht="15.75" hidden="false" customHeight="true" outlineLevel="0" collapsed="false">
      <c r="B2" s="2" t="s">
        <v>1</v>
      </c>
      <c r="C2" s="2"/>
      <c r="D2" s="2"/>
    </row>
    <row r="3" customFormat="false" ht="3" hidden="false" customHeight="true" outlineLevel="0" collapsed="false">
      <c r="B3" s="3"/>
      <c r="C3" s="3"/>
      <c r="D3" s="3"/>
    </row>
    <row r="4" customFormat="false" ht="7.5" hidden="false" customHeight="true" outlineLevel="0" collapsed="false"/>
    <row r="5" customFormat="false" ht="19.5" hidden="false" customHeight="true" outlineLevel="0" collapsed="false">
      <c r="B5" s="4" t="s">
        <v>2</v>
      </c>
      <c r="C5" s="4"/>
      <c r="D5" s="4"/>
    </row>
    <row r="6" customFormat="false" ht="27.75" hidden="false" customHeight="true" outlineLevel="0" collapsed="false">
      <c r="B6" s="5" t="s">
        <v>3</v>
      </c>
      <c r="C6" s="5"/>
      <c r="D6" s="5"/>
    </row>
    <row r="7" customFormat="false" ht="27.75" hidden="false" customHeight="true" outlineLevel="0" collapsed="false">
      <c r="B7" s="5"/>
      <c r="C7" s="5"/>
      <c r="D7" s="5"/>
    </row>
    <row r="8" customFormat="false" ht="27.75" hidden="false" customHeight="true" outlineLevel="0" collapsed="false">
      <c r="B8" s="5"/>
      <c r="C8" s="5"/>
      <c r="D8" s="5"/>
    </row>
    <row r="9" customFormat="false" ht="7.5" hidden="false" customHeight="true" outlineLevel="0" collapsed="false"/>
    <row r="10" customFormat="false" ht="19.5" hidden="false" customHeight="true" outlineLevel="0" collapsed="false">
      <c r="B10" s="4" t="s">
        <v>4</v>
      </c>
      <c r="C10" s="4"/>
      <c r="D10" s="4"/>
    </row>
    <row r="11" customFormat="false" ht="27.75" hidden="false" customHeight="true" outlineLevel="0" collapsed="false">
      <c r="B11" s="6" t="s">
        <v>5</v>
      </c>
      <c r="C11" s="7" t="s">
        <v>6</v>
      </c>
      <c r="D11" s="8" t="s">
        <v>7</v>
      </c>
    </row>
    <row r="12" customFormat="false" ht="27.75" hidden="false" customHeight="true" outlineLevel="0" collapsed="false">
      <c r="B12" s="9" t="s">
        <v>8</v>
      </c>
      <c r="C12" s="10" t="s">
        <v>9</v>
      </c>
      <c r="D12" s="11" t="s">
        <v>10</v>
      </c>
    </row>
    <row r="13" customFormat="false" ht="27.75" hidden="false" customHeight="true" outlineLevel="0" collapsed="false">
      <c r="B13" s="6" t="s">
        <v>11</v>
      </c>
      <c r="C13" s="7" t="s">
        <v>12</v>
      </c>
      <c r="D13" s="8" t="s">
        <v>13</v>
      </c>
    </row>
    <row r="14" customFormat="false" ht="27.75" hidden="false" customHeight="true" outlineLevel="0" collapsed="false">
      <c r="B14" s="9" t="s">
        <v>14</v>
      </c>
      <c r="C14" s="10" t="s">
        <v>15</v>
      </c>
      <c r="D14" s="11" t="s">
        <v>16</v>
      </c>
    </row>
    <row r="16" customFormat="false" ht="18" hidden="false" customHeight="true" outlineLevel="0" collapsed="false">
      <c r="B16" s="12" t="s">
        <v>17</v>
      </c>
      <c r="C16" s="12"/>
      <c r="D16" s="12"/>
    </row>
  </sheetData>
  <mergeCells count="7">
    <mergeCell ref="B1:D1"/>
    <mergeCell ref="B2:D2"/>
    <mergeCell ref="B3:D3"/>
    <mergeCell ref="B5:D5"/>
    <mergeCell ref="B6:D8"/>
    <mergeCell ref="B10:D10"/>
    <mergeCell ref="B16:D1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45309"/>
    <pageSetUpPr fitToPage="false"/>
  </sheetPr>
  <dimension ref="B1: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6"/>
    <col collapsed="false" customWidth="true" hidden="false" outlineLevel="0" max="6" min="3" style="0" width="16"/>
    <col collapsed="false" customWidth="true" hidden="false" outlineLevel="0" max="7" min="7" style="0" width="4"/>
  </cols>
  <sheetData>
    <row r="1" customFormat="false" ht="30" hidden="false" customHeight="true" outlineLevel="0" collapsed="false">
      <c r="B1" s="1" t="s">
        <v>18</v>
      </c>
      <c r="C1" s="1"/>
      <c r="D1" s="1"/>
      <c r="E1" s="1"/>
      <c r="F1" s="1"/>
    </row>
    <row r="2" customFormat="false" ht="15.75" hidden="false" customHeight="true" outlineLevel="0" collapsed="false">
      <c r="B2" s="2" t="s">
        <v>19</v>
      </c>
      <c r="C2" s="2"/>
      <c r="D2" s="2"/>
      <c r="E2" s="2"/>
      <c r="F2" s="2"/>
    </row>
    <row r="3" customFormat="false" ht="7.5" hidden="false" customHeight="true" outlineLevel="0" collapsed="false"/>
    <row r="4" customFormat="false" ht="21.75" hidden="false" customHeight="true" outlineLevel="0" collapsed="false">
      <c r="B4" s="13" t="s">
        <v>20</v>
      </c>
      <c r="C4" s="14" t="s">
        <v>21</v>
      </c>
      <c r="D4" s="15" t="s">
        <v>22</v>
      </c>
      <c r="E4" s="16" t="s">
        <v>23</v>
      </c>
      <c r="F4" s="17" t="s">
        <v>24</v>
      </c>
    </row>
    <row r="5" customFormat="false" ht="19.5" hidden="false" customHeight="true" outlineLevel="0" collapsed="false">
      <c r="B5" s="18" t="s">
        <v>25</v>
      </c>
      <c r="C5" s="18"/>
      <c r="D5" s="18"/>
      <c r="E5" s="18"/>
      <c r="F5" s="18"/>
    </row>
    <row r="6" customFormat="false" ht="19.5" hidden="false" customHeight="true" outlineLevel="0" collapsed="false">
      <c r="B6" s="19" t="s">
        <v>26</v>
      </c>
      <c r="C6" s="20" t="s">
        <v>27</v>
      </c>
      <c r="D6" s="20" t="s">
        <v>28</v>
      </c>
      <c r="E6" s="20" t="s">
        <v>29</v>
      </c>
    </row>
    <row r="7" customFormat="false" ht="19.5" hidden="false" customHeight="true" outlineLevel="0" collapsed="false">
      <c r="B7" s="10" t="s">
        <v>30</v>
      </c>
      <c r="C7" s="21" t="n">
        <v>0.15</v>
      </c>
      <c r="D7" s="21" t="n">
        <v>0.33</v>
      </c>
      <c r="E7" s="21" t="n">
        <v>0.45</v>
      </c>
      <c r="F7" s="22" t="s">
        <v>31</v>
      </c>
    </row>
    <row r="8" customFormat="false" ht="19.5" hidden="false" customHeight="true" outlineLevel="0" collapsed="false">
      <c r="B8" s="10" t="s">
        <v>32</v>
      </c>
      <c r="C8" s="21" t="n">
        <v>0.1</v>
      </c>
      <c r="D8" s="21" t="n">
        <v>0.28</v>
      </c>
      <c r="E8" s="21" t="n">
        <v>0.4</v>
      </c>
    </row>
    <row r="9" customFormat="false" ht="19.5" hidden="false" customHeight="true" outlineLevel="0" collapsed="false">
      <c r="B9" s="10" t="s">
        <v>33</v>
      </c>
      <c r="C9" s="21" t="n">
        <v>0.08</v>
      </c>
      <c r="D9" s="21" t="n">
        <v>0.25</v>
      </c>
      <c r="E9" s="21" t="n">
        <v>0.35</v>
      </c>
    </row>
    <row r="10" customFormat="false" ht="7.5" hidden="false" customHeight="true" outlineLevel="0" collapsed="false"/>
    <row r="11" customFormat="false" ht="19.5" hidden="false" customHeight="true" outlineLevel="0" collapsed="false">
      <c r="B11" s="18" t="s">
        <v>34</v>
      </c>
      <c r="C11" s="18"/>
      <c r="D11" s="18"/>
      <c r="E11" s="18"/>
      <c r="F11" s="18"/>
    </row>
    <row r="12" customFormat="false" ht="19.5" hidden="false" customHeight="true" outlineLevel="0" collapsed="false">
      <c r="B12" s="23" t="s">
        <v>35</v>
      </c>
      <c r="C12" s="21" t="n">
        <v>0.68</v>
      </c>
      <c r="D12" s="21" t="n">
        <v>0.72</v>
      </c>
      <c r="E12" s="21" t="n">
        <v>0.76</v>
      </c>
      <c r="F12" s="24" t="s">
        <v>36</v>
      </c>
    </row>
    <row r="13" customFormat="false" ht="19.5" hidden="false" customHeight="true" outlineLevel="0" collapsed="false">
      <c r="B13" s="10" t="s">
        <v>37</v>
      </c>
      <c r="C13" s="21" t="n">
        <v>0.42</v>
      </c>
      <c r="D13" s="21" t="n">
        <v>0.35</v>
      </c>
      <c r="E13" s="21" t="n">
        <v>0.3</v>
      </c>
      <c r="F13" s="22" t="s">
        <v>38</v>
      </c>
    </row>
    <row r="14" customFormat="false" ht="19.5" hidden="false" customHeight="true" outlineLevel="0" collapsed="false">
      <c r="B14" s="10" t="s">
        <v>39</v>
      </c>
      <c r="C14" s="21" t="n">
        <v>0.25</v>
      </c>
      <c r="D14" s="21" t="n">
        <v>0.21</v>
      </c>
      <c r="E14" s="21" t="n">
        <v>0.18</v>
      </c>
      <c r="F14" s="22" t="s">
        <v>40</v>
      </c>
    </row>
    <row r="15" customFormat="false" ht="19.5" hidden="false" customHeight="true" outlineLevel="0" collapsed="false">
      <c r="B15" s="10" t="s">
        <v>41</v>
      </c>
      <c r="C15" s="21" t="n">
        <v>0.14</v>
      </c>
      <c r="D15" s="21" t="n">
        <v>0.11</v>
      </c>
      <c r="E15" s="21" t="n">
        <v>0.09</v>
      </c>
      <c r="F15" s="22" t="s">
        <v>42</v>
      </c>
    </row>
    <row r="16" customFormat="false" ht="7.5" hidden="false" customHeight="true" outlineLevel="0" collapsed="false"/>
    <row r="17" customFormat="false" ht="19.5" hidden="false" customHeight="true" outlineLevel="0" collapsed="false">
      <c r="B17" s="18" t="s">
        <v>43</v>
      </c>
      <c r="C17" s="18"/>
      <c r="D17" s="18"/>
      <c r="E17" s="18"/>
      <c r="F17" s="18"/>
    </row>
    <row r="18" customFormat="false" ht="19.5" hidden="false" customHeight="true" outlineLevel="0" collapsed="false">
      <c r="B18" s="23" t="s">
        <v>44</v>
      </c>
      <c r="C18" s="25" t="n">
        <v>15000000</v>
      </c>
      <c r="D18" s="25" t="n">
        <v>28000000</v>
      </c>
      <c r="E18" s="25" t="n">
        <v>32000000</v>
      </c>
      <c r="F18" s="24" t="s">
        <v>45</v>
      </c>
    </row>
    <row r="19" customFormat="false" ht="19.5" hidden="false" customHeight="true" outlineLevel="0" collapsed="false">
      <c r="B19" s="10" t="s">
        <v>46</v>
      </c>
      <c r="C19" s="25" t="n">
        <v>400000</v>
      </c>
      <c r="D19" s="25" t="n">
        <v>600000</v>
      </c>
      <c r="E19" s="25" t="n">
        <v>900000</v>
      </c>
      <c r="F19" s="22" t="s">
        <v>47</v>
      </c>
    </row>
  </sheetData>
  <mergeCells count="5">
    <mergeCell ref="B1:F1"/>
    <mergeCell ref="B2:F2"/>
    <mergeCell ref="B5:F5"/>
    <mergeCell ref="B11:F11"/>
    <mergeCell ref="B17:F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D4ED8"/>
    <pageSetUpPr fitToPage="false"/>
  </sheetPr>
  <dimension ref="B1:K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28"/>
    <col collapsed="false" customWidth="true" hidden="false" outlineLevel="0" max="9" min="3" style="0" width="13"/>
    <col collapsed="false" customWidth="true" hidden="false" outlineLevel="0" max="10" min="10" style="0" width="4"/>
  </cols>
  <sheetData>
    <row r="1" customFormat="false" ht="30" hidden="false" customHeight="true" outlineLevel="0" collapsed="false">
      <c r="B1" s="1" t="s">
        <v>48</v>
      </c>
      <c r="C1" s="1"/>
      <c r="D1" s="1"/>
      <c r="E1" s="1"/>
      <c r="F1" s="1"/>
      <c r="G1" s="1"/>
      <c r="H1" s="1"/>
      <c r="I1" s="1"/>
    </row>
    <row r="2" customFormat="false" ht="15.75" hidden="false" customHeight="true" outlineLevel="0" collapsed="false">
      <c r="B2" s="2" t="s">
        <v>49</v>
      </c>
      <c r="C2" s="2"/>
      <c r="D2" s="2"/>
      <c r="E2" s="2"/>
      <c r="F2" s="2"/>
      <c r="G2" s="2"/>
      <c r="H2" s="2"/>
      <c r="I2" s="2"/>
    </row>
    <row r="3" customFormat="false" ht="7.5" hidden="false" customHeight="true" outlineLevel="0" collapsed="false"/>
    <row r="4" customFormat="false" ht="21.75" hidden="false" customHeight="true" outlineLevel="0" collapsed="false">
      <c r="B4" s="26" t="s">
        <v>50</v>
      </c>
      <c r="C4" s="27" t="s">
        <v>21</v>
      </c>
      <c r="D4" s="27"/>
      <c r="E4" s="27"/>
      <c r="F4" s="28" t="s">
        <v>22</v>
      </c>
      <c r="G4" s="28"/>
      <c r="H4" s="28"/>
      <c r="I4" s="29" t="s">
        <v>23</v>
      </c>
      <c r="J4" s="29"/>
      <c r="K4" s="29"/>
    </row>
    <row r="5" customFormat="false" ht="18" hidden="false" customHeight="true" outlineLevel="0" collapsed="false">
      <c r="B5" s="30"/>
      <c r="C5" s="31" t="s">
        <v>27</v>
      </c>
      <c r="D5" s="31" t="s">
        <v>28</v>
      </c>
      <c r="E5" s="31" t="s">
        <v>29</v>
      </c>
      <c r="F5" s="31" t="s">
        <v>27</v>
      </c>
      <c r="G5" s="31" t="s">
        <v>28</v>
      </c>
      <c r="H5" s="31" t="s">
        <v>29</v>
      </c>
      <c r="I5" s="31" t="s">
        <v>27</v>
      </c>
      <c r="J5" s="31" t="s">
        <v>28</v>
      </c>
      <c r="K5" s="31" t="s">
        <v>29</v>
      </c>
    </row>
    <row r="6" customFormat="false" ht="21.75" hidden="false" customHeight="true" outlineLevel="0" collapsed="false">
      <c r="B6" s="32" t="s">
        <v>51</v>
      </c>
      <c r="C6" s="33" t="n">
        <f aca="false">'⚙️ Scenario Inputs'!C18*(1+'⚙️ Scenario Inputs'!C7)</f>
        <v>17250000</v>
      </c>
      <c r="D6" s="33" t="n">
        <f aca="false">'⚙️ Scenario Inputs'!C18*(1+'⚙️ Scenario Inputs'!C7)*(1+'⚙️ Scenario Inputs'!C8)</f>
        <v>18975000</v>
      </c>
      <c r="E6" s="33" t="n">
        <f aca="false">'⚙️ Scenario Inputs'!C18*(1+'⚙️ Scenario Inputs'!C7)*(1+'⚙️ Scenario Inputs'!C8)*(1+'⚙️ Scenario Inputs'!C9)</f>
        <v>20493000</v>
      </c>
      <c r="F6" s="34" t="n">
        <f aca="false">'⚙️ Scenario Inputs'!D18*(1+'⚙️ Scenario Inputs'!D7)</f>
        <v>37240000</v>
      </c>
      <c r="G6" s="34" t="n">
        <f aca="false">'⚙️ Scenario Inputs'!D18*(1+'⚙️ Scenario Inputs'!D7)*(1+'⚙️ Scenario Inputs'!D8)</f>
        <v>47667200</v>
      </c>
      <c r="H6" s="34" t="n">
        <f aca="false">'⚙️ Scenario Inputs'!D18*(1+'⚙️ Scenario Inputs'!D7)*(1+'⚙️ Scenario Inputs'!D8)*(1+'⚙️ Scenario Inputs'!D9)</f>
        <v>59584000</v>
      </c>
      <c r="I6" s="35" t="n">
        <f aca="false">'⚙️ Scenario Inputs'!E18*(1+'⚙️ Scenario Inputs'!E7)</f>
        <v>46400000</v>
      </c>
      <c r="J6" s="35" t="n">
        <f aca="false">'⚙️ Scenario Inputs'!E18*(1+'⚙️ Scenario Inputs'!E7)*(1+'⚙️ Scenario Inputs'!E8)</f>
        <v>64960000</v>
      </c>
      <c r="K6" s="35" t="n">
        <f aca="false">'⚙️ Scenario Inputs'!E18*(1+'⚙️ Scenario Inputs'!E7)*(1+'⚙️ Scenario Inputs'!E8)*(1+'⚙️ Scenario Inputs'!E9)</f>
        <v>87696000</v>
      </c>
    </row>
    <row r="7" customFormat="false" ht="19.5" hidden="false" customHeight="true" outlineLevel="0" collapsed="false">
      <c r="B7" s="10" t="s">
        <v>52</v>
      </c>
      <c r="C7" s="36" t="n">
        <f aca="false">'⚙️ Scenario Inputs'!C18*(1+'⚙️ Scenario Inputs'!C7)+'⚙️ Scenario Inputs'!C19*(1+0*0.15)</f>
        <v>17650000</v>
      </c>
      <c r="D7" s="36" t="n">
        <f aca="false">'⚙️ Scenario Inputs'!C18*(1+'⚙️ Scenario Inputs'!C7)*(1+'⚙️ Scenario Inputs'!C8)+'⚙️ Scenario Inputs'!C19*(1+1*0.15)</f>
        <v>19435000</v>
      </c>
      <c r="E7" s="36" t="n">
        <f aca="false">'⚙️ Scenario Inputs'!C18*(1+'⚙️ Scenario Inputs'!C7)*(1+'⚙️ Scenario Inputs'!C8)*(1+'⚙️ Scenario Inputs'!C9)+'⚙️ Scenario Inputs'!C19*(1+2*0.15)</f>
        <v>21013000</v>
      </c>
      <c r="F7" s="37" t="n">
        <f aca="false">'⚙️ Scenario Inputs'!D18*(1+'⚙️ Scenario Inputs'!D7)+'⚙️ Scenario Inputs'!D19*(1+0*0.15)</f>
        <v>37840000</v>
      </c>
      <c r="G7" s="37" t="n">
        <f aca="false">'⚙️ Scenario Inputs'!D18*(1+'⚙️ Scenario Inputs'!D7)*(1+'⚙️ Scenario Inputs'!D8)+'⚙️ Scenario Inputs'!D19*(1+1*0.15)</f>
        <v>48357200</v>
      </c>
      <c r="H7" s="37" t="n">
        <f aca="false">'⚙️ Scenario Inputs'!D18*(1+'⚙️ Scenario Inputs'!D7)*(1+'⚙️ Scenario Inputs'!D8)*(1+'⚙️ Scenario Inputs'!D9)+'⚙️ Scenario Inputs'!D19*(1+2*0.15)</f>
        <v>60364000</v>
      </c>
      <c r="I7" s="38" t="n">
        <f aca="false">'⚙️ Scenario Inputs'!E18*(1+'⚙️ Scenario Inputs'!E7)+'⚙️ Scenario Inputs'!E19*(1+0*0.15)</f>
        <v>47300000</v>
      </c>
      <c r="J7" s="38" t="n">
        <f aca="false">'⚙️ Scenario Inputs'!E18*(1+'⚙️ Scenario Inputs'!E7)*(1+'⚙️ Scenario Inputs'!E8)+'⚙️ Scenario Inputs'!E19*(1+1*0.15)</f>
        <v>65995000</v>
      </c>
      <c r="K7" s="38" t="n">
        <f aca="false">'⚙️ Scenario Inputs'!E18*(1+'⚙️ Scenario Inputs'!E7)*(1+'⚙️ Scenario Inputs'!E8)*(1+'⚙️ Scenario Inputs'!E9)+'⚙️ Scenario Inputs'!E19*(1+2*0.15)</f>
        <v>88866000</v>
      </c>
    </row>
    <row r="8" customFormat="false" ht="21.75" hidden="false" customHeight="true" outlineLevel="0" collapsed="false">
      <c r="B8" s="39" t="s">
        <v>53</v>
      </c>
      <c r="C8" s="40" t="n">
        <f aca="false">'⚙️ Scenario Inputs'!C18*(1+'⚙️ Scenario Inputs'!C7)*'⚙️ Scenario Inputs'!C12</f>
        <v>11730000</v>
      </c>
      <c r="D8" s="40" t="n">
        <f aca="false">'⚙️ Scenario Inputs'!C18*(1+'⚙️ Scenario Inputs'!C7)*(1+'⚙️ Scenario Inputs'!C8)*'⚙️ Scenario Inputs'!C12</f>
        <v>12903000</v>
      </c>
      <c r="E8" s="40" t="n">
        <f aca="false">'⚙️ Scenario Inputs'!C18*(1+'⚙️ Scenario Inputs'!C7)*(1+'⚙️ Scenario Inputs'!C8)*(1+'⚙️ Scenario Inputs'!C9)*'⚙️ Scenario Inputs'!C12</f>
        <v>13935240</v>
      </c>
      <c r="F8" s="41" t="n">
        <f aca="false">'⚙️ Scenario Inputs'!D18*(1+'⚙️ Scenario Inputs'!D7)*'⚙️ Scenario Inputs'!D12</f>
        <v>26812800</v>
      </c>
      <c r="G8" s="41" t="n">
        <f aca="false">'⚙️ Scenario Inputs'!D18*(1+'⚙️ Scenario Inputs'!D7)*(1+'⚙️ Scenario Inputs'!D8)*'⚙️ Scenario Inputs'!D12</f>
        <v>34320384</v>
      </c>
      <c r="H8" s="41" t="n">
        <f aca="false">'⚙️ Scenario Inputs'!D18*(1+'⚙️ Scenario Inputs'!D7)*(1+'⚙️ Scenario Inputs'!D8)*(1+'⚙️ Scenario Inputs'!D9)*'⚙️ Scenario Inputs'!D12</f>
        <v>42900480</v>
      </c>
      <c r="I8" s="42" t="n">
        <f aca="false">'⚙️ Scenario Inputs'!E18*(1+'⚙️ Scenario Inputs'!E7)*'⚙️ Scenario Inputs'!E12</f>
        <v>35264000</v>
      </c>
      <c r="J8" s="42" t="n">
        <f aca="false">'⚙️ Scenario Inputs'!E18*(1+'⚙️ Scenario Inputs'!E7)*(1+'⚙️ Scenario Inputs'!E8)*'⚙️ Scenario Inputs'!E12</f>
        <v>49369600</v>
      </c>
      <c r="K8" s="42" t="n">
        <f aca="false">'⚙️ Scenario Inputs'!E18*(1+'⚙️ Scenario Inputs'!E7)*(1+'⚙️ Scenario Inputs'!E8)*(1+'⚙️ Scenario Inputs'!E9)*'⚙️ Scenario Inputs'!E12</f>
        <v>66648960</v>
      </c>
    </row>
    <row r="9" customFormat="false" ht="21.75" hidden="false" customHeight="true" outlineLevel="0" collapsed="false">
      <c r="B9" s="32" t="s">
        <v>54</v>
      </c>
      <c r="C9" s="33" t="n">
        <f aca="false">'⚙️ Scenario Inputs'!C18*(1+'⚙️ Scenario Inputs'!C7)*'⚙️ Scenario Inputs'!C12-('⚙️ Scenario Inputs'!C18*(1+'⚙️ Scenario Inputs'!C7)+'⚙️ Scenario Inputs'!C19*(1+0*0.15))*('⚙️ Scenario Inputs'!C13+'⚙️ Scenario Inputs'!C14+'⚙️ Scenario Inputs'!C15)</f>
        <v>-2566500</v>
      </c>
      <c r="D9" s="33" t="n">
        <f aca="false">'⚙️ Scenario Inputs'!C18*(1+'⚙️ Scenario Inputs'!C7)*(1+'⚙️ Scenario Inputs'!C8)*'⚙️ Scenario Inputs'!C12-('⚙️ Scenario Inputs'!C18*(1+'⚙️ Scenario Inputs'!C7)*(1+'⚙️ Scenario Inputs'!C8)+'⚙️ Scenario Inputs'!C19*(1+1*0.15))*('⚙️ Scenario Inputs'!C13+'⚙️ Scenario Inputs'!C14+'⚙️ Scenario Inputs'!C15)</f>
        <v>-2839350</v>
      </c>
      <c r="E9" s="33" t="n">
        <f aca="false">'⚙️ Scenario Inputs'!C18*(1+'⚙️ Scenario Inputs'!C7)*(1+'⚙️ Scenario Inputs'!C8)*(1+'⚙️ Scenario Inputs'!C9)*'⚙️ Scenario Inputs'!C12-('⚙️ Scenario Inputs'!C18*(1+'⚙️ Scenario Inputs'!C7)*(1+'⚙️ Scenario Inputs'!C8)*(1+'⚙️ Scenario Inputs'!C9)+'⚙️ Scenario Inputs'!C19*(1+2*0.15))*('⚙️ Scenario Inputs'!C13+'⚙️ Scenario Inputs'!C14+'⚙️ Scenario Inputs'!C15)</f>
        <v>-3085290</v>
      </c>
      <c r="F9" s="34" t="n">
        <f aca="false">'⚙️ Scenario Inputs'!D18*(1+'⚙️ Scenario Inputs'!D7)*'⚙️ Scenario Inputs'!D12-('⚙️ Scenario Inputs'!D18*(1+'⚙️ Scenario Inputs'!D7)+'⚙️ Scenario Inputs'!D19*(1+0*0.15))*('⚙️ Scenario Inputs'!D13+'⚙️ Scenario Inputs'!D14+'⚙️ Scenario Inputs'!D15)</f>
        <v>1460000</v>
      </c>
      <c r="G9" s="34" t="n">
        <f aca="false">'⚙️ Scenario Inputs'!D18*(1+'⚙️ Scenario Inputs'!D7)*(1+'⚙️ Scenario Inputs'!D8)*'⚙️ Scenario Inputs'!D12-('⚙️ Scenario Inputs'!D18*(1+'⚙️ Scenario Inputs'!D7)*(1+'⚙️ Scenario Inputs'!D8)+'⚙️ Scenario Inputs'!D19*(1+1*0.15))*('⚙️ Scenario Inputs'!D13+'⚙️ Scenario Inputs'!D14+'⚙️ Scenario Inputs'!D15)</f>
        <v>1921060</v>
      </c>
      <c r="H9" s="34" t="n">
        <f aca="false">'⚙️ Scenario Inputs'!D18*(1+'⚙️ Scenario Inputs'!D7)*(1+'⚙️ Scenario Inputs'!D8)*(1+'⚙️ Scenario Inputs'!D9)*'⚙️ Scenario Inputs'!D12-('⚙️ Scenario Inputs'!D18*(1+'⚙️ Scenario Inputs'!D7)*(1+'⚙️ Scenario Inputs'!D8)*(1+'⚙️ Scenario Inputs'!D9)+'⚙️ Scenario Inputs'!D19*(1+2*0.15))*('⚙️ Scenario Inputs'!D13+'⚙️ Scenario Inputs'!D14+'⚙️ Scenario Inputs'!D15)</f>
        <v>2456600.00000001</v>
      </c>
      <c r="I9" s="35" t="n">
        <f aca="false">'⚙️ Scenario Inputs'!E18*(1+'⚙️ Scenario Inputs'!E7)*'⚙️ Scenario Inputs'!E12-('⚙️ Scenario Inputs'!E18*(1+'⚙️ Scenario Inputs'!E7)+'⚙️ Scenario Inputs'!E19*(1+0*0.15))*('⚙️ Scenario Inputs'!E13+'⚙️ Scenario Inputs'!E14+'⚙️ Scenario Inputs'!E15)</f>
        <v>8303000</v>
      </c>
      <c r="J9" s="35" t="n">
        <f aca="false">'⚙️ Scenario Inputs'!E18*(1+'⚙️ Scenario Inputs'!E7)*(1+'⚙️ Scenario Inputs'!E8)*'⚙️ Scenario Inputs'!E12-('⚙️ Scenario Inputs'!E18*(1+'⚙️ Scenario Inputs'!E7)*(1+'⚙️ Scenario Inputs'!E8)+'⚙️ Scenario Inputs'!E19*(1+1*0.15))*('⚙️ Scenario Inputs'!E13+'⚙️ Scenario Inputs'!E14+'⚙️ Scenario Inputs'!E15)</f>
        <v>11752450</v>
      </c>
      <c r="K9" s="35" t="n">
        <f aca="false">'⚙️ Scenario Inputs'!E18*(1+'⚙️ Scenario Inputs'!E7)*(1+'⚙️ Scenario Inputs'!E8)*(1+'⚙️ Scenario Inputs'!E9)*'⚙️ Scenario Inputs'!E12-('⚙️ Scenario Inputs'!E18*(1+'⚙️ Scenario Inputs'!E7)*(1+'⚙️ Scenario Inputs'!E8)*(1+'⚙️ Scenario Inputs'!E9)+'⚙️ Scenario Inputs'!E19*(1+2*0.15))*('⚙️ Scenario Inputs'!E13+'⚙️ Scenario Inputs'!E14+'⚙️ Scenario Inputs'!E15)</f>
        <v>15995340</v>
      </c>
    </row>
    <row r="10" customFormat="false" ht="19.5" hidden="false" customHeight="true" outlineLevel="0" collapsed="false">
      <c r="B10" s="10" t="s">
        <v>55</v>
      </c>
      <c r="C10" s="43" t="n">
        <f aca="false">IFERROR(('⚙️ Scenario Inputs'!C18*(1+'⚙️ Scenario Inputs'!C7)*'⚙️ Scenario Inputs'!C12-('⚙️ Scenario Inputs'!C18*(1+'⚙️ Scenario Inputs'!C7)+'⚙️ Scenario Inputs'!C19*(1+0*0.15))*('⚙️ Scenario Inputs'!C13+'⚙️ Scenario Inputs'!C14+'⚙️ Scenario Inputs'!C15))/('⚙️ Scenario Inputs'!C18*(1+'⚙️ Scenario Inputs'!C7)+'⚙️ Scenario Inputs'!C19*(1+0*0.15)),0)</f>
        <v>-0.145410764872521</v>
      </c>
      <c r="D10" s="43" t="n">
        <f aca="false">IFERROR(('⚙️ Scenario Inputs'!C18*(1+'⚙️ Scenario Inputs'!C7)*(1+'⚙️ Scenario Inputs'!C8)*'⚙️ Scenario Inputs'!C12-('⚙️ Scenario Inputs'!C18*(1+'⚙️ Scenario Inputs'!C7)*(1+'⚙️ Scenario Inputs'!C8)+'⚙️ Scenario Inputs'!C19*(1+1*0.15))*('⚙️ Scenario Inputs'!C13+'⚙️ Scenario Inputs'!C14+'⚙️ Scenario Inputs'!C15))/('⚙️ Scenario Inputs'!C18*(1+'⚙️ Scenario Inputs'!C7)*(1+'⚙️ Scenario Inputs'!C8)+'⚙️ Scenario Inputs'!C19*(1+1*0.15)),0)</f>
        <v>-0.146094674556213</v>
      </c>
      <c r="E10" s="43" t="n">
        <f aca="false">IFERROR(('⚙️ Scenario Inputs'!C18*(1+'⚙️ Scenario Inputs'!C7)*(1+'⚙️ Scenario Inputs'!C8)*(1+'⚙️ Scenario Inputs'!C9)*'⚙️ Scenario Inputs'!C12-('⚙️ Scenario Inputs'!C18*(1+'⚙️ Scenario Inputs'!C7)*(1+'⚙️ Scenario Inputs'!C8)*(1+'⚙️ Scenario Inputs'!C9)+'⚙️ Scenario Inputs'!C19*(1+2*0.15))*('⚙️ Scenario Inputs'!C13+'⚙️ Scenario Inputs'!C14+'⚙️ Scenario Inputs'!C15))/('⚙️ Scenario Inputs'!C18*(1+'⚙️ Scenario Inputs'!C7)*(1+'⚙️ Scenario Inputs'!C8)*(1+'⚙️ Scenario Inputs'!C9)+'⚙️ Scenario Inputs'!C19*(1+2*0.15)),0)</f>
        <v>-0.146827678104031</v>
      </c>
      <c r="F10" s="44" t="n">
        <f aca="false">IFERROR(('⚙️ Scenario Inputs'!D18*(1+'⚙️ Scenario Inputs'!D7)*'⚙️ Scenario Inputs'!D12-('⚙️ Scenario Inputs'!D18*(1+'⚙️ Scenario Inputs'!D7)+'⚙️ Scenario Inputs'!D19*(1+0*0.15))*('⚙️ Scenario Inputs'!D13+'⚙️ Scenario Inputs'!D14+'⚙️ Scenario Inputs'!D15))/('⚙️ Scenario Inputs'!D18*(1+'⚙️ Scenario Inputs'!D7)+'⚙️ Scenario Inputs'!D19*(1+0*0.15)),0)</f>
        <v>0.0385835095137422</v>
      </c>
      <c r="G10" s="44" t="n">
        <f aca="false">IFERROR(('⚙️ Scenario Inputs'!D18*(1+'⚙️ Scenario Inputs'!D7)*(1+'⚙️ Scenario Inputs'!D8)*'⚙️ Scenario Inputs'!D12-('⚙️ Scenario Inputs'!D18*(1+'⚙️ Scenario Inputs'!D7)*(1+'⚙️ Scenario Inputs'!D8)+'⚙️ Scenario Inputs'!D19*(1+1*0.15))*('⚙️ Scenario Inputs'!D13+'⚙️ Scenario Inputs'!D14+'⚙️ Scenario Inputs'!D15))/('⚙️ Scenario Inputs'!D18*(1+'⚙️ Scenario Inputs'!D7)*(1+'⚙️ Scenario Inputs'!D8)+'⚙️ Scenario Inputs'!D19*(1+1*0.15)),0)</f>
        <v>0.0397264523173386</v>
      </c>
      <c r="H10" s="44" t="n">
        <f aca="false">IFERROR(('⚙️ Scenario Inputs'!D18*(1+'⚙️ Scenario Inputs'!D7)*(1+'⚙️ Scenario Inputs'!D8)*(1+'⚙️ Scenario Inputs'!D9)*'⚙️ Scenario Inputs'!D12-('⚙️ Scenario Inputs'!D18*(1+'⚙️ Scenario Inputs'!D7)*(1+'⚙️ Scenario Inputs'!D8)*(1+'⚙️ Scenario Inputs'!D9)+'⚙️ Scenario Inputs'!D19*(1+2*0.15))*('⚙️ Scenario Inputs'!D13+'⚙️ Scenario Inputs'!D14+'⚙️ Scenario Inputs'!D15))/('⚙️ Scenario Inputs'!D18*(1+'⚙️ Scenario Inputs'!D7)*(1+'⚙️ Scenario Inputs'!D8)*(1+'⚙️ Scenario Inputs'!D9)+'⚙️ Scenario Inputs'!D19*(1+2*0.15)),0)</f>
        <v>0.0406964415877014</v>
      </c>
      <c r="I10" s="45" t="n">
        <f aca="false">IFERROR(('⚙️ Scenario Inputs'!E18*(1+'⚙️ Scenario Inputs'!E7)*'⚙️ Scenario Inputs'!E12-('⚙️ Scenario Inputs'!E18*(1+'⚙️ Scenario Inputs'!E7)+'⚙️ Scenario Inputs'!E19*(1+0*0.15))*('⚙️ Scenario Inputs'!E13+'⚙️ Scenario Inputs'!E14+'⚙️ Scenario Inputs'!E15))/('⚙️ Scenario Inputs'!E18*(1+'⚙️ Scenario Inputs'!E7)+'⚙️ Scenario Inputs'!E19*(1+0*0.15)),0)</f>
        <v>0.17553911205074</v>
      </c>
      <c r="J10" s="45" t="n">
        <f aca="false">IFERROR(('⚙️ Scenario Inputs'!E18*(1+'⚙️ Scenario Inputs'!E7)*(1+'⚙️ Scenario Inputs'!E8)*'⚙️ Scenario Inputs'!E12-('⚙️ Scenario Inputs'!E18*(1+'⚙️ Scenario Inputs'!E7)*(1+'⚙️ Scenario Inputs'!E8)+'⚙️ Scenario Inputs'!E19*(1+1*0.15))*('⚙️ Scenario Inputs'!E13+'⚙️ Scenario Inputs'!E14+'⚙️ Scenario Inputs'!E15))/('⚙️ Scenario Inputs'!E18*(1+'⚙️ Scenario Inputs'!E7)*(1+'⚙️ Scenario Inputs'!E8)+'⚙️ Scenario Inputs'!E19*(1+1*0.15)),0)</f>
        <v>0.17808091522085</v>
      </c>
      <c r="K10" s="45" t="n">
        <f aca="false">IFERROR(('⚙️ Scenario Inputs'!E18*(1+'⚙️ Scenario Inputs'!E7)*(1+'⚙️ Scenario Inputs'!E8)*(1+'⚙️ Scenario Inputs'!E9)*'⚙️ Scenario Inputs'!E12-('⚙️ Scenario Inputs'!E18*(1+'⚙️ Scenario Inputs'!E7)*(1+'⚙️ Scenario Inputs'!E8)*(1+'⚙️ Scenario Inputs'!E9)+'⚙️ Scenario Inputs'!E19*(1+2*0.15))*('⚙️ Scenario Inputs'!E13+'⚙️ Scenario Inputs'!E14+'⚙️ Scenario Inputs'!E15))/('⚙️ Scenario Inputs'!E18*(1+'⚙️ Scenario Inputs'!E7)*(1+'⚙️ Scenario Inputs'!E8)*(1+'⚙️ Scenario Inputs'!E9)+'⚙️ Scenario Inputs'!E19*(1+2*0.15)),0)</f>
        <v>0.179993923435285</v>
      </c>
    </row>
  </sheetData>
  <mergeCells count="5">
    <mergeCell ref="B1:I1"/>
    <mergeCell ref="B2:I2"/>
    <mergeCell ref="C4:E4"/>
    <mergeCell ref="F4:H4"/>
    <mergeCell ref="I4:K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2400E"/>
    <pageSetUpPr fitToPage="false"/>
  </sheetPr>
  <dimension ref="B1:G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0"/>
    <col collapsed="false" customWidth="true" hidden="false" outlineLevel="0" max="7" min="3" style="0" width="12"/>
    <col collapsed="false" customWidth="true" hidden="false" outlineLevel="0" max="8" min="8" style="0" width="4"/>
  </cols>
  <sheetData>
    <row r="1" customFormat="false" ht="30" hidden="false" customHeight="true" outlineLevel="0" collapsed="false">
      <c r="B1" s="1" t="s">
        <v>56</v>
      </c>
      <c r="C1" s="1"/>
      <c r="D1" s="1"/>
      <c r="E1" s="1"/>
      <c r="F1" s="1"/>
      <c r="G1" s="1"/>
    </row>
    <row r="2" customFormat="false" ht="15.75" hidden="false" customHeight="true" outlineLevel="0" collapsed="false">
      <c r="B2" s="2" t="s">
        <v>57</v>
      </c>
      <c r="C2" s="2"/>
      <c r="D2" s="2"/>
      <c r="E2" s="2"/>
      <c r="F2" s="2"/>
      <c r="G2" s="2"/>
    </row>
    <row r="3" customFormat="false" ht="7.5" hidden="false" customHeight="true" outlineLevel="0" collapsed="false"/>
    <row r="4" customFormat="false" ht="21.75" hidden="false" customHeight="true" outlineLevel="0" collapsed="false">
      <c r="B4" s="13" t="s">
        <v>58</v>
      </c>
      <c r="C4" s="46" t="s">
        <v>59</v>
      </c>
      <c r="D4" s="46" t="s">
        <v>60</v>
      </c>
      <c r="E4" s="47" t="s">
        <v>61</v>
      </c>
      <c r="F4" s="48" t="s">
        <v>62</v>
      </c>
      <c r="G4" s="48" t="s">
        <v>63</v>
      </c>
    </row>
    <row r="5" customFormat="false" ht="21.75" hidden="false" customHeight="true" outlineLevel="0" collapsed="false">
      <c r="B5" s="49" t="s">
        <v>64</v>
      </c>
      <c r="C5" s="50" t="n">
        <f aca="false">('⚙️ Scenario Inputs'!E18*(1+'⚙️ Scenario Inputs'!E7)*(1+'⚙️ Scenario Inputs'!E8)*(('⚙️ Scenario Inputs'!E9)*(1+-0.2)))*'⚙️ Scenario Inputs'!E12-('⚙️ Scenario Inputs'!E18*(1+'⚙️ Scenario Inputs'!E7)*(1+'⚙️ Scenario Inputs'!E8)*(('⚙️ Scenario Inputs'!E9)*(1+-0.2))+'⚙️ Scenario Inputs'!E19*1.3)*('⚙️ Scenario Inputs'!E13+'⚙️ Scenario Inputs'!E14+'⚙️ Scenario Inputs'!E15)</f>
        <v>2788972</v>
      </c>
      <c r="D5" s="50" t="n">
        <f aca="false">('⚙️ Scenario Inputs'!E18*(1+'⚙️ Scenario Inputs'!E7)*(1+'⚙️ Scenario Inputs'!E8)*(('⚙️ Scenario Inputs'!E9)*(1+-0.1)))*'⚙️ Scenario Inputs'!E12-('⚙️ Scenario Inputs'!E18*(1+'⚙️ Scenario Inputs'!E7)*(1+'⚙️ Scenario Inputs'!E8)*(('⚙️ Scenario Inputs'!E9)*(1+-0.1))+'⚙️ Scenario Inputs'!E19*1.3)*('⚙️ Scenario Inputs'!E13+'⚙️ Scenario Inputs'!E14+'⚙️ Scenario Inputs'!E15)</f>
        <v>3220956</v>
      </c>
      <c r="E5" s="51" t="n">
        <f aca="false">('⚙️ Scenario Inputs'!E18*(1+'⚙️ Scenario Inputs'!E7)*(1+'⚙️ Scenario Inputs'!E8)*(1+'⚙️ Scenario Inputs'!E9))*'⚙️ Scenario Inputs'!E12-('⚙️ Scenario Inputs'!E18*(1+'⚙️ Scenario Inputs'!E7)*(1+'⚙️ Scenario Inputs'!E8)*(1+'⚙️ Scenario Inputs'!E9)+'⚙️ Scenario Inputs'!E19*1.3)*('⚙️ Scenario Inputs'!E13+'⚙️ Scenario Inputs'!E14+'⚙️ Scenario Inputs'!E15)</f>
        <v>15995340</v>
      </c>
      <c r="F5" s="52" t="n">
        <f aca="false">('⚙️ Scenario Inputs'!E18*(1+'⚙️ Scenario Inputs'!E7)*(1+'⚙️ Scenario Inputs'!E8)*(('⚙️ Scenario Inputs'!E9)*(1+0.1)))*'⚙️ Scenario Inputs'!E12-('⚙️ Scenario Inputs'!E18*(1+'⚙️ Scenario Inputs'!E7)*(1+'⚙️ Scenario Inputs'!E8)*(('⚙️ Scenario Inputs'!E9)*(1+0.1))+'⚙️ Scenario Inputs'!E19*1.3)*('⚙️ Scenario Inputs'!E13+'⚙️ Scenario Inputs'!E14+'⚙️ Scenario Inputs'!E15)</f>
        <v>4084924</v>
      </c>
      <c r="G5" s="52" t="n">
        <f aca="false">('⚙️ Scenario Inputs'!E18*(1+'⚙️ Scenario Inputs'!E7)*(1+'⚙️ Scenario Inputs'!E8)*(('⚙️ Scenario Inputs'!E9)*(1+0.2)))*'⚙️ Scenario Inputs'!E12-('⚙️ Scenario Inputs'!E18*(1+'⚙️ Scenario Inputs'!E7)*(1+'⚙️ Scenario Inputs'!E8)*(('⚙️ Scenario Inputs'!E9)*(1+0.2))+'⚙️ Scenario Inputs'!E19*1.3)*('⚙️ Scenario Inputs'!E13+'⚙️ Scenario Inputs'!E14+'⚙️ Scenario Inputs'!E15)</f>
        <v>4516908</v>
      </c>
    </row>
    <row r="6" customFormat="false" ht="21.75" hidden="false" customHeight="true" outlineLevel="0" collapsed="false">
      <c r="B6" s="53" t="s">
        <v>35</v>
      </c>
      <c r="C6" s="54" t="n">
        <f aca="false">('⚙️ Scenario Inputs'!E18*(1+'⚙️ Scenario Inputs'!E7)*(1+'⚙️ Scenario Inputs'!E8)*(1+'⚙️ Scenario Inputs'!E9))*(('⚙️ Scenario Inputs'!E12)*(1+-0.2))-('⚙️ Scenario Inputs'!E18*(1+'⚙️ Scenario Inputs'!E7)*(1+'⚙️ Scenario Inputs'!E8)*(1+'⚙️ Scenario Inputs'!E9)+'⚙️ Scenario Inputs'!E19*1.3)*('⚙️ Scenario Inputs'!E13+'⚙️ Scenario Inputs'!E14+'⚙️ Scenario Inputs'!E15)</f>
        <v>2665548.00000002</v>
      </c>
      <c r="D6" s="54" t="n">
        <f aca="false">('⚙️ Scenario Inputs'!E18*(1+'⚙️ Scenario Inputs'!E7)*(1+'⚙️ Scenario Inputs'!E8)*(1+'⚙️ Scenario Inputs'!E9))*(('⚙️ Scenario Inputs'!E12)*(1+-0.1))-('⚙️ Scenario Inputs'!E18*(1+'⚙️ Scenario Inputs'!E7)*(1+'⚙️ Scenario Inputs'!E8)*(1+'⚙️ Scenario Inputs'!E9)+'⚙️ Scenario Inputs'!E19*1.3)*('⚙️ Scenario Inputs'!E13+'⚙️ Scenario Inputs'!E14+'⚙️ Scenario Inputs'!E15)</f>
        <v>9330444.00000002</v>
      </c>
      <c r="E6" s="55" t="n">
        <f aca="false">('⚙️ Scenario Inputs'!E18*(1+'⚙️ Scenario Inputs'!E7)*(1+'⚙️ Scenario Inputs'!E8)*(1+'⚙️ Scenario Inputs'!E9))*'⚙️ Scenario Inputs'!E12-('⚙️ Scenario Inputs'!E18*(1+'⚙️ Scenario Inputs'!E7)*(1+'⚙️ Scenario Inputs'!E8)*(1+'⚙️ Scenario Inputs'!E9)+'⚙️ Scenario Inputs'!E19*1.3)*('⚙️ Scenario Inputs'!E13+'⚙️ Scenario Inputs'!E14+'⚙️ Scenario Inputs'!E15)</f>
        <v>15995340</v>
      </c>
      <c r="F6" s="56" t="n">
        <f aca="false">('⚙️ Scenario Inputs'!E18*(1+'⚙️ Scenario Inputs'!E7)*(1+'⚙️ Scenario Inputs'!E8)*(1+'⚙️ Scenario Inputs'!E9))*(('⚙️ Scenario Inputs'!E12)*(1+0.1))-('⚙️ Scenario Inputs'!E18*(1+'⚙️ Scenario Inputs'!E7)*(1+'⚙️ Scenario Inputs'!E8)*(1+'⚙️ Scenario Inputs'!E9)+'⚙️ Scenario Inputs'!E19*1.3)*('⚙️ Scenario Inputs'!E13+'⚙️ Scenario Inputs'!E14+'⚙️ Scenario Inputs'!E15)</f>
        <v>22660236</v>
      </c>
      <c r="G6" s="56" t="n">
        <f aca="false">('⚙️ Scenario Inputs'!E18*(1+'⚙️ Scenario Inputs'!E7)*(1+'⚙️ Scenario Inputs'!E8)*(1+'⚙️ Scenario Inputs'!E9))*(('⚙️ Scenario Inputs'!E12)*(1+0.2))-('⚙️ Scenario Inputs'!E18*(1+'⚙️ Scenario Inputs'!E7)*(1+'⚙️ Scenario Inputs'!E8)*(1+'⚙️ Scenario Inputs'!E9)+'⚙️ Scenario Inputs'!E19*1.3)*('⚙️ Scenario Inputs'!E13+'⚙️ Scenario Inputs'!E14+'⚙️ Scenario Inputs'!E15)</f>
        <v>29325132</v>
      </c>
    </row>
    <row r="7" customFormat="false" ht="21.75" hidden="false" customHeight="true" outlineLevel="0" collapsed="false">
      <c r="B7" s="49" t="s">
        <v>65</v>
      </c>
      <c r="C7" s="50" t="n">
        <f aca="false">('⚙️ Scenario Inputs'!E18*(1+'⚙️ Scenario Inputs'!E7)*(1+'⚙️ Scenario Inputs'!E8)*(1+'⚙️ Scenario Inputs'!E9))*'⚙️ Scenario Inputs'!E12-('⚙️ Scenario Inputs'!E18*(1+'⚙️ Scenario Inputs'!E7)*(1+'⚙️ Scenario Inputs'!E8)*(1+'⚙️ Scenario Inputs'!E9)+'⚙️ Scenario Inputs'!E19*1.3)*((('⚙️ Scenario Inputs'!E13)*(1+-0.2))+'⚙️ Scenario Inputs'!E14+'⚙️ Scenario Inputs'!E15)</f>
        <v>21327300</v>
      </c>
      <c r="D7" s="50" t="n">
        <f aca="false">('⚙️ Scenario Inputs'!E18*(1+'⚙️ Scenario Inputs'!E7)*(1+'⚙️ Scenario Inputs'!E8)*(1+'⚙️ Scenario Inputs'!E9))*'⚙️ Scenario Inputs'!E12-('⚙️ Scenario Inputs'!E18*(1+'⚙️ Scenario Inputs'!E7)*(1+'⚙️ Scenario Inputs'!E8)*(1+'⚙️ Scenario Inputs'!E9)+'⚙️ Scenario Inputs'!E19*1.3)*((('⚙️ Scenario Inputs'!E13)*(1+-0.1))+'⚙️ Scenario Inputs'!E14+'⚙️ Scenario Inputs'!E15)</f>
        <v>18661320</v>
      </c>
      <c r="E7" s="51" t="n">
        <f aca="false">('⚙️ Scenario Inputs'!E18*(1+'⚙️ Scenario Inputs'!E7)*(1+'⚙️ Scenario Inputs'!E8)*(1+'⚙️ Scenario Inputs'!E9))*'⚙️ Scenario Inputs'!E12-('⚙️ Scenario Inputs'!E18*(1+'⚙️ Scenario Inputs'!E7)*(1+'⚙️ Scenario Inputs'!E8)*(1+'⚙️ Scenario Inputs'!E9)+'⚙️ Scenario Inputs'!E19*1.3)*('⚙️ Scenario Inputs'!E13+'⚙️ Scenario Inputs'!E14+'⚙️ Scenario Inputs'!E15)</f>
        <v>15995340</v>
      </c>
      <c r="F7" s="52" t="n">
        <f aca="false">('⚙️ Scenario Inputs'!E18*(1+'⚙️ Scenario Inputs'!E7)*(1+'⚙️ Scenario Inputs'!E8)*(1+'⚙️ Scenario Inputs'!E9))*'⚙️ Scenario Inputs'!E12-('⚙️ Scenario Inputs'!E18*(1+'⚙️ Scenario Inputs'!E7)*(1+'⚙️ Scenario Inputs'!E8)*(1+'⚙️ Scenario Inputs'!E9)+'⚙️ Scenario Inputs'!E19*1.3)*((('⚙️ Scenario Inputs'!E13)*(1+0.1))+'⚙️ Scenario Inputs'!E14+'⚙️ Scenario Inputs'!E15)</f>
        <v>13329360</v>
      </c>
      <c r="G7" s="52" t="n">
        <f aca="false">('⚙️ Scenario Inputs'!E18*(1+'⚙️ Scenario Inputs'!E7)*(1+'⚙️ Scenario Inputs'!E8)*(1+'⚙️ Scenario Inputs'!E9))*'⚙️ Scenario Inputs'!E12-('⚙️ Scenario Inputs'!E18*(1+'⚙️ Scenario Inputs'!E7)*(1+'⚙️ Scenario Inputs'!E8)*(1+'⚙️ Scenario Inputs'!E9)+'⚙️ Scenario Inputs'!E19*1.3)*((('⚙️ Scenario Inputs'!E13)*(1+0.2))+'⚙️ Scenario Inputs'!E14+'⚙️ Scenario Inputs'!E15)</f>
        <v>10663380</v>
      </c>
    </row>
    <row r="8" customFormat="false" ht="21.75" hidden="false" customHeight="true" outlineLevel="0" collapsed="false">
      <c r="B8" s="53" t="s">
        <v>66</v>
      </c>
      <c r="C8" s="54" t="n">
        <f aca="false">('⚙️ Scenario Inputs'!E18*(1+'⚙️ Scenario Inputs'!E7)*(1+'⚙️ Scenario Inputs'!E8)*(1+'⚙️ Scenario Inputs'!E9))*'⚙️ Scenario Inputs'!E12-('⚙️ Scenario Inputs'!E18*(1+'⚙️ Scenario Inputs'!E7)*(1+'⚙️ Scenario Inputs'!E8)*(1+'⚙️ Scenario Inputs'!E9)+'⚙️ Scenario Inputs'!E19*1.3)*('⚙️ Scenario Inputs'!E13+(('⚙️ Scenario Inputs'!E14)*(1+-0.2))+'⚙️ Scenario Inputs'!E15)</f>
        <v>19194516</v>
      </c>
      <c r="D8" s="54" t="n">
        <f aca="false">('⚙️ Scenario Inputs'!E18*(1+'⚙️ Scenario Inputs'!E7)*(1+'⚙️ Scenario Inputs'!E8)*(1+'⚙️ Scenario Inputs'!E9))*'⚙️ Scenario Inputs'!E12-('⚙️ Scenario Inputs'!E18*(1+'⚙️ Scenario Inputs'!E7)*(1+'⚙️ Scenario Inputs'!E8)*(1+'⚙️ Scenario Inputs'!E9)+'⚙️ Scenario Inputs'!E19*1.3)*('⚙️ Scenario Inputs'!E13+(('⚙️ Scenario Inputs'!E14)*(1+-0.1))+'⚙️ Scenario Inputs'!E15)</f>
        <v>17594928</v>
      </c>
      <c r="E8" s="55" t="n">
        <f aca="false">('⚙️ Scenario Inputs'!E18*(1+'⚙️ Scenario Inputs'!E7)*(1+'⚙️ Scenario Inputs'!E8)*(1+'⚙️ Scenario Inputs'!E9))*'⚙️ Scenario Inputs'!E12-('⚙️ Scenario Inputs'!E18*(1+'⚙️ Scenario Inputs'!E7)*(1+'⚙️ Scenario Inputs'!E8)*(1+'⚙️ Scenario Inputs'!E9)+'⚙️ Scenario Inputs'!E19*1.3)*('⚙️ Scenario Inputs'!E13+'⚙️ Scenario Inputs'!E14+'⚙️ Scenario Inputs'!E15)</f>
        <v>15995340</v>
      </c>
      <c r="F8" s="56" t="n">
        <f aca="false">('⚙️ Scenario Inputs'!E18*(1+'⚙️ Scenario Inputs'!E7)*(1+'⚙️ Scenario Inputs'!E8)*(1+'⚙️ Scenario Inputs'!E9))*'⚙️ Scenario Inputs'!E12-('⚙️ Scenario Inputs'!E18*(1+'⚙️ Scenario Inputs'!E7)*(1+'⚙️ Scenario Inputs'!E8)*(1+'⚙️ Scenario Inputs'!E9)+'⚙️ Scenario Inputs'!E19*1.3)*('⚙️ Scenario Inputs'!E13+(('⚙️ Scenario Inputs'!E14)*(1+0.1))+'⚙️ Scenario Inputs'!E15)</f>
        <v>14395752</v>
      </c>
      <c r="G8" s="56" t="n">
        <f aca="false">('⚙️ Scenario Inputs'!E18*(1+'⚙️ Scenario Inputs'!E7)*(1+'⚙️ Scenario Inputs'!E8)*(1+'⚙️ Scenario Inputs'!E9))*'⚙️ Scenario Inputs'!E12-('⚙️ Scenario Inputs'!E18*(1+'⚙️ Scenario Inputs'!E7)*(1+'⚙️ Scenario Inputs'!E8)*(1+'⚙️ Scenario Inputs'!E9)+'⚙️ Scenario Inputs'!E19*1.3)*('⚙️ Scenario Inputs'!E13+(('⚙️ Scenario Inputs'!E14)*(1+0.2))+'⚙️ Scenario Inputs'!E15)</f>
        <v>12796164</v>
      </c>
    </row>
    <row r="9" customFormat="false" ht="21.75" hidden="false" customHeight="true" outlineLevel="0" collapsed="false">
      <c r="B9" s="49" t="s">
        <v>67</v>
      </c>
      <c r="C9" s="50" t="n">
        <f aca="false">('⚙️ Scenario Inputs'!E18*(1+'⚙️ Scenario Inputs'!E7)*(1+'⚙️ Scenario Inputs'!E8)*(1+'⚙️ Scenario Inputs'!E9))*'⚙️ Scenario Inputs'!E12-('⚙️ Scenario Inputs'!E18*(1+'⚙️ Scenario Inputs'!E7)*(1+'⚙️ Scenario Inputs'!E8)*(1+'⚙️ Scenario Inputs'!E9)+'⚙️ Scenario Inputs'!E19*1.3)*('⚙️ Scenario Inputs'!E13+'⚙️ Scenario Inputs'!E14+(('⚙️ Scenario Inputs'!E15)*(1+-0.2)))</f>
        <v>17594928</v>
      </c>
      <c r="D9" s="50" t="n">
        <f aca="false">('⚙️ Scenario Inputs'!E18*(1+'⚙️ Scenario Inputs'!E7)*(1+'⚙️ Scenario Inputs'!E8)*(1+'⚙️ Scenario Inputs'!E9))*'⚙️ Scenario Inputs'!E12-('⚙️ Scenario Inputs'!E18*(1+'⚙️ Scenario Inputs'!E7)*(1+'⚙️ Scenario Inputs'!E8)*(1+'⚙️ Scenario Inputs'!E9)+'⚙️ Scenario Inputs'!E19*1.3)*('⚙️ Scenario Inputs'!E13+'⚙️ Scenario Inputs'!E14+(('⚙️ Scenario Inputs'!E15)*(1+-0.1)))</f>
        <v>16795134</v>
      </c>
      <c r="E9" s="51" t="n">
        <f aca="false">('⚙️ Scenario Inputs'!E18*(1+'⚙️ Scenario Inputs'!E7)*(1+'⚙️ Scenario Inputs'!E8)*(1+'⚙️ Scenario Inputs'!E9))*'⚙️ Scenario Inputs'!E12-('⚙️ Scenario Inputs'!E18*(1+'⚙️ Scenario Inputs'!E7)*(1+'⚙️ Scenario Inputs'!E8)*(1+'⚙️ Scenario Inputs'!E9)+'⚙️ Scenario Inputs'!E19*1.3)*('⚙️ Scenario Inputs'!E13+'⚙️ Scenario Inputs'!E14+'⚙️ Scenario Inputs'!E15)</f>
        <v>15995340</v>
      </c>
      <c r="F9" s="52" t="n">
        <f aca="false">('⚙️ Scenario Inputs'!E18*(1+'⚙️ Scenario Inputs'!E7)*(1+'⚙️ Scenario Inputs'!E8)*(1+'⚙️ Scenario Inputs'!E9))*'⚙️ Scenario Inputs'!E12-('⚙️ Scenario Inputs'!E18*(1+'⚙️ Scenario Inputs'!E7)*(1+'⚙️ Scenario Inputs'!E8)*(1+'⚙️ Scenario Inputs'!E9)+'⚙️ Scenario Inputs'!E19*1.3)*('⚙️ Scenario Inputs'!E13+'⚙️ Scenario Inputs'!E14+(('⚙️ Scenario Inputs'!E15)*(1+0.1)))</f>
        <v>15195546</v>
      </c>
      <c r="G9" s="52" t="n">
        <f aca="false">('⚙️ Scenario Inputs'!E18*(1+'⚙️ Scenario Inputs'!E7)*(1+'⚙️ Scenario Inputs'!E8)*(1+'⚙️ Scenario Inputs'!E9))*'⚙️ Scenario Inputs'!E12-('⚙️ Scenario Inputs'!E18*(1+'⚙️ Scenario Inputs'!E7)*(1+'⚙️ Scenario Inputs'!E8)*(1+'⚙️ Scenario Inputs'!E9)+'⚙️ Scenario Inputs'!E19*1.3)*('⚙️ Scenario Inputs'!E13+'⚙️ Scenario Inputs'!E14+(('⚙️ Scenario Inputs'!E15)*(1+0.2)))</f>
        <v>14395752</v>
      </c>
    </row>
    <row r="10" customFormat="false" ht="7.5" hidden="false" customHeight="true" outlineLevel="0" collapsed="false"/>
    <row r="11" customFormat="false" ht="21.75" hidden="false" customHeight="true" outlineLevel="0" collapsed="false">
      <c r="B11" s="57" t="s">
        <v>68</v>
      </c>
      <c r="C11" s="57"/>
      <c r="D11" s="57"/>
      <c r="E11" s="57"/>
      <c r="F11" s="57"/>
      <c r="G11" s="57"/>
    </row>
    <row r="13" customFormat="false" ht="19.5" hidden="false" customHeight="true" outlineLevel="0" collapsed="false">
      <c r="B13" s="18" t="s">
        <v>69</v>
      </c>
      <c r="C13" s="18"/>
      <c r="D13" s="18"/>
      <c r="E13" s="18"/>
      <c r="F13" s="18"/>
      <c r="G13" s="18"/>
    </row>
    <row r="14" customFormat="false" ht="19.5" hidden="false" customHeight="true" outlineLevel="0" collapsed="false">
      <c r="B14" s="58" t="s">
        <v>58</v>
      </c>
      <c r="C14" s="58" t="s">
        <v>70</v>
      </c>
      <c r="D14" s="58" t="s">
        <v>22</v>
      </c>
      <c r="E14" s="58" t="s">
        <v>71</v>
      </c>
      <c r="F14" s="58" t="s">
        <v>72</v>
      </c>
    </row>
    <row r="15" customFormat="false" ht="19.5" hidden="false" customHeight="true" outlineLevel="0" collapsed="false">
      <c r="B15" s="10" t="s">
        <v>64</v>
      </c>
      <c r="C15" s="59" t="n">
        <f aca="false">'🌡️ Sensitivity Table'!C5</f>
        <v>2788972</v>
      </c>
      <c r="D15" s="60" t="n">
        <f aca="false">'🌡️ Sensitivity Table'!E5</f>
        <v>15995340</v>
      </c>
      <c r="E15" s="61" t="n">
        <f aca="false">'🌡️ Sensitivity Table'!G5</f>
        <v>4516908</v>
      </c>
      <c r="F15" s="62" t="n">
        <f aca="false">ABS(G15-C15)</f>
        <v>2788972</v>
      </c>
    </row>
    <row r="16" customFormat="false" ht="19.5" hidden="false" customHeight="true" outlineLevel="0" collapsed="false">
      <c r="B16" s="10" t="s">
        <v>35</v>
      </c>
      <c r="C16" s="59" t="n">
        <f aca="false">'🌡️ Sensitivity Table'!C6</f>
        <v>2665548.00000002</v>
      </c>
      <c r="D16" s="60" t="n">
        <f aca="false">'🌡️ Sensitivity Table'!E6</f>
        <v>15995340</v>
      </c>
      <c r="E16" s="61" t="n">
        <f aca="false">'🌡️ Sensitivity Table'!G6</f>
        <v>29325132</v>
      </c>
      <c r="F16" s="62" t="n">
        <f aca="false">ABS(G16-C16)</f>
        <v>2665548.00000002</v>
      </c>
    </row>
    <row r="17" customFormat="false" ht="19.5" hidden="false" customHeight="true" outlineLevel="0" collapsed="false">
      <c r="B17" s="10" t="s">
        <v>65</v>
      </c>
      <c r="C17" s="59" t="n">
        <f aca="false">'🌡️ Sensitivity Table'!C7</f>
        <v>21327300</v>
      </c>
      <c r="D17" s="60" t="n">
        <f aca="false">'🌡️ Sensitivity Table'!E7</f>
        <v>15995340</v>
      </c>
      <c r="E17" s="61" t="n">
        <f aca="false">'🌡️ Sensitivity Table'!G7</f>
        <v>10663380</v>
      </c>
      <c r="F17" s="62" t="n">
        <f aca="false">ABS(G17-C17)</f>
        <v>21327300</v>
      </c>
    </row>
    <row r="18" customFormat="false" ht="19.5" hidden="false" customHeight="true" outlineLevel="0" collapsed="false">
      <c r="B18" s="10" t="s">
        <v>66</v>
      </c>
      <c r="C18" s="59" t="n">
        <f aca="false">'🌡️ Sensitivity Table'!C8</f>
        <v>19194516</v>
      </c>
      <c r="D18" s="60" t="n">
        <f aca="false">'🌡️ Sensitivity Table'!E8</f>
        <v>15995340</v>
      </c>
      <c r="E18" s="61" t="n">
        <f aca="false">'🌡️ Sensitivity Table'!G8</f>
        <v>12796164</v>
      </c>
      <c r="F18" s="62" t="n">
        <f aca="false">ABS(G18-C18)</f>
        <v>19194516</v>
      </c>
    </row>
    <row r="19" customFormat="false" ht="19.5" hidden="false" customHeight="true" outlineLevel="0" collapsed="false">
      <c r="B19" s="10" t="s">
        <v>67</v>
      </c>
      <c r="C19" s="59" t="n">
        <f aca="false">'🌡️ Sensitivity Table'!C9</f>
        <v>17594928</v>
      </c>
      <c r="D19" s="60" t="n">
        <f aca="false">'🌡️ Sensitivity Table'!E9</f>
        <v>15995340</v>
      </c>
      <c r="E19" s="61" t="n">
        <f aca="false">'🌡️ Sensitivity Table'!G9</f>
        <v>14395752</v>
      </c>
      <c r="F19" s="62" t="n">
        <f aca="false">ABS(G19-C19)</f>
        <v>17594928</v>
      </c>
    </row>
  </sheetData>
  <mergeCells count="4">
    <mergeCell ref="B1:G1"/>
    <mergeCell ref="B2:G2"/>
    <mergeCell ref="B11:G11"/>
    <mergeCell ref="B13:G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6534"/>
    <pageSetUpPr fitToPage="false"/>
  </sheetPr>
  <dimension ref="B1:E1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28"/>
    <col collapsed="false" customWidth="true" hidden="false" outlineLevel="0" max="5" min="3" style="0" width="16"/>
    <col collapsed="false" customWidth="true" hidden="false" outlineLevel="0" max="6" min="6" style="0" width="4"/>
  </cols>
  <sheetData>
    <row r="1" customFormat="false" ht="30" hidden="false" customHeight="true" outlineLevel="0" collapsed="false">
      <c r="B1" s="1" t="s">
        <v>73</v>
      </c>
      <c r="C1" s="1"/>
      <c r="D1" s="1"/>
      <c r="E1" s="1"/>
    </row>
    <row r="2" customFormat="false" ht="15.75" hidden="false" customHeight="true" outlineLevel="0" collapsed="false">
      <c r="B2" s="2" t="s">
        <v>74</v>
      </c>
      <c r="C2" s="2"/>
      <c r="D2" s="2"/>
      <c r="E2" s="2"/>
    </row>
    <row r="3" customFormat="false" ht="7.5" hidden="false" customHeight="true" outlineLevel="0" collapsed="false"/>
    <row r="4" customFormat="false" ht="24" hidden="false" customHeight="true" outlineLevel="0" collapsed="false">
      <c r="B4" s="26" t="s">
        <v>75</v>
      </c>
      <c r="C4" s="63" t="s">
        <v>21</v>
      </c>
      <c r="D4" s="64" t="s">
        <v>22</v>
      </c>
      <c r="E4" s="65" t="s">
        <v>23</v>
      </c>
    </row>
    <row r="5" customFormat="false" ht="25.5" hidden="false" customHeight="true" outlineLevel="0" collapsed="false">
      <c r="B5" s="53" t="s">
        <v>51</v>
      </c>
      <c r="C5" s="66" t="n">
        <f aca="false">'📊 Scenario Output'!E6</f>
        <v>20493000</v>
      </c>
      <c r="D5" s="67" t="n">
        <f aca="false">'📊 Scenario Output'!H6</f>
        <v>59584000</v>
      </c>
      <c r="E5" s="68" t="n">
        <f aca="false">'📊 Scenario Output'!K6</f>
        <v>87696000</v>
      </c>
    </row>
    <row r="6" customFormat="false" ht="25.5" hidden="false" customHeight="true" outlineLevel="0" collapsed="false">
      <c r="B6" s="53" t="s">
        <v>52</v>
      </c>
      <c r="C6" s="66" t="n">
        <f aca="false">'📊 Scenario Output'!E7</f>
        <v>21013000</v>
      </c>
      <c r="D6" s="67" t="n">
        <f aca="false">'📊 Scenario Output'!H7</f>
        <v>60364000</v>
      </c>
      <c r="E6" s="68" t="n">
        <f aca="false">'📊 Scenario Output'!K7</f>
        <v>88866000</v>
      </c>
    </row>
    <row r="7" customFormat="false" ht="25.5" hidden="false" customHeight="true" outlineLevel="0" collapsed="false">
      <c r="B7" s="53" t="s">
        <v>53</v>
      </c>
      <c r="C7" s="66" t="n">
        <f aca="false">'📊 Scenario Output'!E8</f>
        <v>13935240</v>
      </c>
      <c r="D7" s="67" t="n">
        <f aca="false">'📊 Scenario Output'!H8</f>
        <v>42900480</v>
      </c>
      <c r="E7" s="68" t="n">
        <f aca="false">'📊 Scenario Output'!K8</f>
        <v>66648960</v>
      </c>
    </row>
    <row r="8" customFormat="false" ht="25.5" hidden="false" customHeight="true" outlineLevel="0" collapsed="false">
      <c r="B8" s="53" t="s">
        <v>54</v>
      </c>
      <c r="C8" s="66" t="n">
        <f aca="false">'📊 Scenario Output'!E9</f>
        <v>-3085290</v>
      </c>
      <c r="D8" s="67" t="n">
        <f aca="false">'📊 Scenario Output'!H9</f>
        <v>2456600.00000001</v>
      </c>
      <c r="E8" s="68" t="n">
        <f aca="false">'📊 Scenario Output'!K9</f>
        <v>15995340</v>
      </c>
    </row>
    <row r="9" customFormat="false" ht="25.5" hidden="false" customHeight="true" outlineLevel="0" collapsed="false">
      <c r="B9" s="53" t="s">
        <v>55</v>
      </c>
      <c r="C9" s="69" t="n">
        <f aca="false">'📊 Scenario Output'!E10</f>
        <v>-0.146827678104031</v>
      </c>
      <c r="D9" s="70" t="n">
        <f aca="false">'📊 Scenario Output'!H10</f>
        <v>0.0406964415877014</v>
      </c>
      <c r="E9" s="71" t="n">
        <f aca="false">'📊 Scenario Output'!K10</f>
        <v>0.179993923435285</v>
      </c>
    </row>
    <row r="10" customFormat="false" ht="7.5" hidden="false" customHeight="true" outlineLevel="0" collapsed="false"/>
    <row r="11" customFormat="false" ht="21.75" hidden="false" customHeight="true" outlineLevel="0" collapsed="false">
      <c r="B11" s="72" t="s">
        <v>76</v>
      </c>
      <c r="C11" s="72"/>
      <c r="D11" s="72"/>
      <c r="E11" s="72"/>
    </row>
    <row r="13" customFormat="false" ht="18" hidden="false" customHeight="true" outlineLevel="0" collapsed="false">
      <c r="B13" s="12" t="s">
        <v>77</v>
      </c>
      <c r="C13" s="12"/>
      <c r="D13" s="12"/>
      <c r="E13" s="12"/>
    </row>
  </sheetData>
  <mergeCells count="4">
    <mergeCell ref="B1:E1"/>
    <mergeCell ref="B2:E2"/>
    <mergeCell ref="B11:E11"/>
    <mergeCell ref="B13:E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2026-03-15T04:23:47Z</dcterms:created>
  <dc:creator>openpyxl</dc:creator>
  <dc:description/>
  <dc:language>en-US</dc:language>
  <cp:lastModifiedBy/>
  <dcterms:modified xsi:type="dcterms:W3CDTF">2026-03-15T04:23:54Z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