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 Guide" sheetId="1" state="visible" r:id="rId3"/>
    <sheet name="⚙️ Assumptions" sheetId="2" state="visible" r:id="rId4"/>
    <sheet name="📊 ARR Bridge" sheetId="3" state="visible" r:id="rId5"/>
    <sheet name="📄 Income Statement" sheetId="4" state="visible" r:id="rId6"/>
    <sheet name="💵 Cash Flow" sheetId="5" state="visible" r:id="rId7"/>
    <sheet name="📈 SaaS Metrics" sheetId="6" state="visible" r:id="rId8"/>
    <sheet name="📋 Summary"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<sst xmlns="http://schemas.openxmlformats.org/spreadsheetml/2006/main" count="242" uniqueCount="174">
  <si>
    <t xml:space="preserve">3-Statement SaaS Financial Model  —  How To Use</t>
  </si>
  <si>
    <t xml:space="preserve">$15M–$50M ARR  |  Monthly &amp; Annual billing  |  Year 1 monthly + 5-year annual  |  EfuturesCFO.com</t>
  </si>
  <si>
    <t xml:space="preserve">WHAT THIS MODEL DOES</t>
  </si>
  <si>
    <t xml:space="preserve">This is a fully integrated 3-statement financial model built for SaaS companies with $15M–$50M ARR. It models subscription revenue through an ARR bridge (new logo, expansion, contraction, churn), calculates deferred revenue for annual contracts, produces an income statement, balance sheet, and cash flow statement, and tracks SaaS health metrics including Rule of 40, NRR, and CAC payback. Year 1 has monthly granularity; Years 2–5 are annual projections.</t>
  </si>
  <si>
    <t xml:space="preserve">DATA FLOW — HOW THE TABS CONNECT</t>
  </si>
  <si>
    <t xml:space="preserve">⚙️ Assumptions</t>
  </si>
  <si>
    <t xml:space="preserve">Enter all blue cells here: ARR inputs, growth rates, margins, headcount, billing mix. This is the ONLY tab you need to edit.</t>
  </si>
  <si>
    <t xml:space="preserve">All tabs pull from here</t>
  </si>
  <si>
    <t xml:space="preserve">📊 ARR Bridge</t>
  </si>
  <si>
    <t xml:space="preserve">Builds the monthly and annual ARR waterfall: opening ARR + new logo + expansion − contraction − churn = closing ARR. Also calculates NRR.</t>
  </si>
  <si>
    <t xml:space="preserve">Feeds Income Statement</t>
  </si>
  <si>
    <t xml:space="preserve">📄 Income Statement</t>
  </si>
  <si>
    <t xml:space="preserve">Revenue (MRR × 12 + deferred release), COGS, gross margin, OpEx by line, EBITDA, and net income. Monthly Year 1, annual Years 2–5.</t>
  </si>
  <si>
    <t xml:space="preserve">Feeds Balance Sheet &amp; CF</t>
  </si>
  <si>
    <t xml:space="preserve">🏦 Balance Sheet</t>
  </si>
  <si>
    <t xml:space="preserve">Assets, liabilities, and equity. Deferred revenue waterfall for annual contracts. Cash ties to cash flow statement.</t>
  </si>
  <si>
    <t xml:space="preserve">Feeds Cash Flow</t>
  </si>
  <si>
    <t xml:space="preserve">💵 Cash Flow</t>
  </si>
  <si>
    <t xml:space="preserve">Operating, investing, and financing cash flows. Starts from net income, adjusts for working capital and deferred revenue.</t>
  </si>
  <si>
    <t xml:space="preserve">Feeds Balance Sheet</t>
  </si>
  <si>
    <t xml:space="preserve">📈 SaaS Metrics</t>
  </si>
  <si>
    <t xml:space="preserve">Rule of 40, NRR, GRR, CAC payback, LTV/CAC, magic number, and payback period. All auto-calculated from prior tabs.</t>
  </si>
  <si>
    <t xml:space="preserve">Board-ready KPIs</t>
  </si>
  <si>
    <t xml:space="preserve">📋 Summary</t>
  </si>
  <si>
    <t xml:space="preserve">Annual P&amp;L bridge, key SaaS metrics, and cash position. One-page executive view ready for board presentation.</t>
  </si>
  <si>
    <t xml:space="preserve">Final output</t>
  </si>
  <si>
    <t xml:space="preserve">COLOUR CODING</t>
  </si>
  <si>
    <t xml:space="preserve">Blue text</t>
  </si>
  <si>
    <t xml:space="preserve">Input cell — replace with your data</t>
  </si>
  <si>
    <t xml:space="preserve">Black text</t>
  </si>
  <si>
    <t xml:space="preserve">Formula — do not overwrite</t>
  </si>
  <si>
    <t xml:space="preserve">Yellow highlight</t>
  </si>
  <si>
    <t xml:space="preserve">High-leverage assumption — review before sharing</t>
  </si>
  <si>
    <t xml:space="preserve">Green tint</t>
  </si>
  <si>
    <t xml:space="preserve">Positive metric or favourable result</t>
  </si>
  <si>
    <t xml:space="preserve">© 2025 EfuturesCFO.com  |  3-Statement SaaS Model  |  $15M–$50M ARR  |  Not financial advice</t>
  </si>
  <si>
    <t xml:space="preserve">⚙️  Model Assumptions — Edit Only Blue Cells</t>
  </si>
  <si>
    <t xml:space="preserve">All other tabs are formulas. Change this tab only. Yellow = high-impact assumption.</t>
  </si>
  <si>
    <t xml:space="preserve">A.  ARR &amp; GROWTH</t>
  </si>
  <si>
    <t xml:space="preserve">ASSUMPTION</t>
  </si>
  <si>
    <t xml:space="preserve">FY 2025</t>
  </si>
  <si>
    <t xml:space="preserve">FY 2026</t>
  </si>
  <si>
    <t xml:space="preserve">FY 2027</t>
  </si>
  <si>
    <t xml:space="preserve">FY 2028</t>
  </si>
  <si>
    <t xml:space="preserve">FY 2029</t>
  </si>
  <si>
    <t xml:space="preserve">NOTE</t>
  </si>
  <si>
    <t xml:space="preserve">Opening ARR ($)</t>
  </si>
  <si>
    <t xml:space="preserve">Starting ARR for each year</t>
  </si>
  <si>
    <t xml:space="preserve">New Logo ARR Added ($)</t>
  </si>
  <si>
    <t xml:space="preserve">Gross new business ARR</t>
  </si>
  <si>
    <t xml:space="preserve">Expansion ARR ($)</t>
  </si>
  <si>
    <t xml:space="preserve">Upsell and seat expansion</t>
  </si>
  <si>
    <t xml:space="preserve">Contraction ARR ($)</t>
  </si>
  <si>
    <t xml:space="preserve">Downgrades</t>
  </si>
  <si>
    <t xml:space="preserve">Churn ARR ($)</t>
  </si>
  <si>
    <t xml:space="preserve">Lost customers ARR</t>
  </si>
  <si>
    <t xml:space="preserve">Annual Contract Mix (% of new ARR)</t>
  </si>
  <si>
    <t xml:space="preserve">% of bookings on annual plans</t>
  </si>
  <si>
    <t xml:space="preserve">B.  REVENUE &amp; MARGINS</t>
  </si>
  <si>
    <t xml:space="preserve">Gross Margin %</t>
  </si>
  <si>
    <t xml:space="preserve">SaaS gross margin on subscription revenue</t>
  </si>
  <si>
    <t xml:space="preserve">Professional Services Revenue ($)</t>
  </si>
  <si>
    <t xml:space="preserve">Implementation/consulting fees</t>
  </si>
  <si>
    <t xml:space="preserve">Professional Services Gross Margin %</t>
  </si>
  <si>
    <t xml:space="preserve">Lower margin on services</t>
  </si>
  <si>
    <t xml:space="preserve">C.  OPERATING EXPENSES</t>
  </si>
  <si>
    <t xml:space="preserve">S&amp;M Expense (% of Revenue)</t>
  </si>
  <si>
    <t xml:space="preserve">Sales &amp; marketing as % of total revenue</t>
  </si>
  <si>
    <t xml:space="preserve">R&amp;D Expense (% of Revenue)</t>
  </si>
  <si>
    <t xml:space="preserve">Research &amp; development</t>
  </si>
  <si>
    <t xml:space="preserve">G&amp;A Expense (% of Revenue)</t>
  </si>
  <si>
    <t xml:space="preserve">General &amp; administrative</t>
  </si>
  <si>
    <t xml:space="preserve">D.  HEADCOUNT &amp; UNIT ECONOMICS</t>
  </si>
  <si>
    <t xml:space="preserve">Total Headcount (year-end)</t>
  </si>
  <si>
    <t xml:space="preserve">Total FTE count end of year</t>
  </si>
  <si>
    <t xml:space="preserve">Avg Fully-Loaded Cost per FTE ($)</t>
  </si>
  <si>
    <t xml:space="preserve">Salary + benefits + overhead</t>
  </si>
  <si>
    <t xml:space="preserve">CAC — Cost per New Logo ($)</t>
  </si>
  <si>
    <t xml:space="preserve">Blended CAC across all channels</t>
  </si>
  <si>
    <t xml:space="preserve">Average New Customer ACV ($)</t>
  </si>
  <si>
    <t xml:space="preserve">Average annual contract value</t>
  </si>
  <si>
    <t xml:space="preserve">E.  BALANCE SHEET &amp; CASH</t>
  </si>
  <si>
    <t xml:space="preserve">Capex (% of Revenue)</t>
  </si>
  <si>
    <t xml:space="preserve">Hardware, software, leasehold</t>
  </si>
  <si>
    <t xml:space="preserve">Days Sales Outstanding (DSO)</t>
  </si>
  <si>
    <t xml:space="preserve">AR collection days</t>
  </si>
  <si>
    <t xml:space="preserve">Opening Cash Balance ($)</t>
  </si>
  <si>
    <t xml:space="preserve">Only enter Year 1; formula rolls forward</t>
  </si>
  <si>
    <t xml:space="preserve">Discount Rate / WACC</t>
  </si>
  <si>
    <t xml:space="preserve">For DCF or NPV calculations</t>
  </si>
  <si>
    <t xml:space="preserve">📊  ARR Bridge — Annual Recurring Revenue Waterfall</t>
  </si>
  <si>
    <t xml:space="preserve">Annual ARR waterfall. All values sourced from ⚙️ Assumptions. Closing ARR = Opening + New + Expansion − Contraction − Churn.</t>
  </si>
  <si>
    <t xml:space="preserve">ARR COMPONENT</t>
  </si>
  <si>
    <t xml:space="preserve">Opening ARR</t>
  </si>
  <si>
    <t xml:space="preserve">+ New Logo ARR</t>
  </si>
  <si>
    <t xml:space="preserve">+ Expansion ARR</t>
  </si>
  <si>
    <t xml:space="preserve">− Contraction</t>
  </si>
  <si>
    <t xml:space="preserve">− Churn ARR</t>
  </si>
  <si>
    <t xml:space="preserve">Closing ARR</t>
  </si>
  <si>
    <t xml:space="preserve">NET REVENUE RETENTION &amp; KEY METRICS</t>
  </si>
  <si>
    <t xml:space="preserve">METRIC</t>
  </si>
  <si>
    <t xml:space="preserve">ARR Growth %</t>
  </si>
  <si>
    <t xml:space="preserve">NRR (Net Rev Retention)</t>
  </si>
  <si>
    <t xml:space="preserve">GRR (Gross Rev Retention)</t>
  </si>
  <si>
    <t xml:space="preserve">Monthly MRR (Closing)</t>
  </si>
  <si>
    <t xml:space="preserve">📄  Income Statement — 5-Year Annual</t>
  </si>
  <si>
    <t xml:space="preserve">Revenue = Subscription (Closing ARR) + Professional Services. All margins from ⚙️ Assumptions.</t>
  </si>
  <si>
    <t xml:space="preserve">LINE ITEM</t>
  </si>
  <si>
    <t xml:space="preserve">  REVENUE</t>
  </si>
  <si>
    <t xml:space="preserve">  Subscription Revenue</t>
  </si>
  <si>
    <t xml:space="preserve">  Professional Services</t>
  </si>
  <si>
    <t xml:space="preserve">TOTAL REVENUE</t>
  </si>
  <si>
    <t xml:space="preserve">  COST OF REVENUE</t>
  </si>
  <si>
    <t xml:space="preserve">  Subscription COGS</t>
  </si>
  <si>
    <t xml:space="preserve">  PS COGS</t>
  </si>
  <si>
    <t xml:space="preserve">GROSS PROFIT</t>
  </si>
  <si>
    <t xml:space="preserve">  OPERATING EXPENSES</t>
  </si>
  <si>
    <t xml:space="preserve">  Sales &amp; Marketing</t>
  </si>
  <si>
    <t xml:space="preserve">  Research &amp; Development</t>
  </si>
  <si>
    <t xml:space="preserve">  General &amp; Administrative</t>
  </si>
  <si>
    <t xml:space="preserve">TOTAL OPEX</t>
  </si>
  <si>
    <t xml:space="preserve">EBITDA</t>
  </si>
  <si>
    <t xml:space="preserve">EBITDA Margin %</t>
  </si>
  <si>
    <t xml:space="preserve">D&amp;A (est. 1% of Rev)</t>
  </si>
  <si>
    <t xml:space="preserve">EBIT</t>
  </si>
  <si>
    <t xml:space="preserve">Tax (25% of positive EBIT)</t>
  </si>
  <si>
    <t xml:space="preserve">NET INCOME</t>
  </si>
  <si>
    <t xml:space="preserve">💵  Cash Flow Statement — 5-Year Annual</t>
  </si>
  <si>
    <t xml:space="preserve">Indirect method. Starts from net income, adjusts for non-cash items and working capital changes.</t>
  </si>
  <si>
    <t xml:space="preserve">CASH FLOW LINE</t>
  </si>
  <si>
    <t xml:space="preserve">OPERATING ACTIVITIES</t>
  </si>
  <si>
    <t xml:space="preserve">Net Income</t>
  </si>
  <si>
    <t xml:space="preserve">Add: D&amp;A</t>
  </si>
  <si>
    <t xml:space="preserve">Change in Deferred Rev</t>
  </si>
  <si>
    <t xml:space="preserve">Change in AR (DSO)</t>
  </si>
  <si>
    <t xml:space="preserve">TOTAL OPERATING CF</t>
  </si>
  <si>
    <t xml:space="preserve">INVESTING ACTIVITIES</t>
  </si>
  <si>
    <t xml:space="preserve">Capital Expenditures</t>
  </si>
  <si>
    <t xml:space="preserve">TOTAL INVESTING CF</t>
  </si>
  <si>
    <t xml:space="preserve">FINANCING ACTIVITIES</t>
  </si>
  <si>
    <t xml:space="preserve">Net Debt / Equity Raise (enter if applicable)</t>
  </si>
  <si>
    <t xml:space="preserve">TOTAL FINANCING CF</t>
  </si>
  <si>
    <t xml:space="preserve">CASH POSITION</t>
  </si>
  <si>
    <t xml:space="preserve">Net Change in Cash</t>
  </si>
  <si>
    <t xml:space="preserve">Opening Cash</t>
  </si>
  <si>
    <t xml:space="preserve">CLOSING CASH</t>
  </si>
  <si>
    <t xml:space="preserve">📈  SaaS Health Metrics — Rule of 40, CAC, LTV, Magic Number</t>
  </si>
  <si>
    <t xml:space="preserve">All metrics auto-calculated. No inputs needed here.</t>
  </si>
  <si>
    <t xml:space="preserve">ARR Growth Rate</t>
  </si>
  <si>
    <t xml:space="preserve">EBITDA Margin</t>
  </si>
  <si>
    <t xml:space="preserve">Rule of 40 (ARR Gr + EBITDA Mg)</t>
  </si>
  <si>
    <t xml:space="preserve">NRR</t>
  </si>
  <si>
    <t xml:space="preserve">GRR</t>
  </si>
  <si>
    <t xml:space="preserve">CAC ($)</t>
  </si>
  <si>
    <t xml:space="preserve">ACV ($)</t>
  </si>
  <si>
    <t xml:space="preserve">CAC Payback (months)</t>
  </si>
  <si>
    <t xml:space="preserve">LTV (3yr at GRR)</t>
  </si>
  <si>
    <t xml:space="preserve">LTV / CAC</t>
  </si>
  <si>
    <t xml:space="preserve">Magic Number</t>
  </si>
  <si>
    <t xml:space="preserve">Revenue per FTE ($)</t>
  </si>
  <si>
    <t xml:space="preserve">📋  Executive Summary — Board-Ready Annual View</t>
  </si>
  <si>
    <t xml:space="preserve">All figures auto-populate. Share this tab with the board or investors.</t>
  </si>
  <si>
    <t xml:space="preserve">KEY METRIC</t>
  </si>
  <si>
    <t xml:space="preserve">  REVENUE METRICS</t>
  </si>
  <si>
    <t xml:space="preserve">ARR (Closing)</t>
  </si>
  <si>
    <t xml:space="preserve">Total Revenue</t>
  </si>
  <si>
    <t xml:space="preserve">  PROFITABILITY</t>
  </si>
  <si>
    <t xml:space="preserve">Rule of 40</t>
  </si>
  <si>
    <t xml:space="preserve">  CASH &amp; BALANCE SHEET</t>
  </si>
  <si>
    <t xml:space="preserve">Closing Cash</t>
  </si>
  <si>
    <t xml:space="preserve">  EFFICIENCY</t>
  </si>
  <si>
    <t xml:space="preserve">CAC Payback (mo)</t>
  </si>
  <si>
    <t xml:space="preserve">Rev per FTE</t>
  </si>
  <si>
    <t xml:space="preserve">Headcount</t>
  </si>
</sst>
</file>

<file path=xl/styles.xml><?xml version="1.0" encoding="utf-8"?>
<styleSheet xmlns="http://schemas.openxmlformats.org/spreadsheetml/2006/main">
  <numFmts count="6">
    <numFmt numFmtId="164" formatCode="General"/>
    <numFmt numFmtId="165" formatCode="\$#,##0;&quot;($&quot;#,##0\);\-"/>
    <numFmt numFmtId="166" formatCode="0.0%;\(0.0%\);\-"/>
    <numFmt numFmtId="167" formatCode="#,##0;\(#,##0\);\-"/>
    <numFmt numFmtId="168" formatCode="0.0&quot; mo&quot;"/>
    <numFmt numFmtId="169" formatCode="0.0\x;\(0.0&quot;x)&quot;;\-"/>
  </numFmts>
  <fonts count="28">
    <font>
      <sz val="11"/>
      <color theme="1"/>
      <name val="Calibri"/>
      <family val="2"/>
      <charset val="1"/>
    </font>
    <font>
      <sz val="10"/>
      <name val="Arial"/>
      <family val="0"/>
    </font>
    <font>
      <sz val="10"/>
      <name val="Arial"/>
      <family val="0"/>
    </font>
    <font>
      <sz val="10"/>
      <name val="Arial"/>
      <family val="0"/>
    </font>
    <font>
      <b val="true"/>
      <sz val="14"/>
      <color rgb="FFFFFFFF"/>
      <name val="Calibri"/>
      <family val="0"/>
      <charset val="1"/>
    </font>
    <font>
      <i val="true"/>
      <sz val="9"/>
      <color rgb="FFC9A84C"/>
      <name val="Calibri"/>
      <family val="0"/>
      <charset val="1"/>
    </font>
    <font>
      <b val="true"/>
      <sz val="11"/>
      <color rgb="FF0F172A"/>
      <name val="Calibri"/>
      <family val="0"/>
      <charset val="1"/>
    </font>
    <font>
      <sz val="10"/>
      <color rgb="FF0F172A"/>
      <name val="Calibri"/>
      <family val="0"/>
      <charset val="1"/>
    </font>
    <font>
      <b val="true"/>
      <sz val="10"/>
      <color rgb="FF1D4ED8"/>
      <name val="Calibri"/>
      <family val="0"/>
      <charset val="1"/>
    </font>
    <font>
      <b val="true"/>
      <i val="true"/>
      <sz val="10"/>
      <color rgb="FF166534"/>
      <name val="Calibri"/>
      <family val="0"/>
      <charset val="1"/>
    </font>
    <font>
      <b val="true"/>
      <sz val="10"/>
      <color rgb="FF0F172A"/>
      <name val="Calibri"/>
      <family val="0"/>
      <charset val="1"/>
    </font>
    <font>
      <b val="true"/>
      <sz val="10"/>
      <color rgb="FF92400E"/>
      <name val="Calibri"/>
      <family val="0"/>
      <charset val="1"/>
    </font>
    <font>
      <b val="true"/>
      <sz val="10"/>
      <color rgb="FF166534"/>
      <name val="Calibri"/>
      <family val="0"/>
      <charset val="1"/>
    </font>
    <font>
      <i val="true"/>
      <sz val="8"/>
      <color rgb="FF475569"/>
      <name val="Calibri"/>
      <family val="0"/>
      <charset val="1"/>
    </font>
    <font>
      <b val="true"/>
      <sz val="9"/>
      <color rgb="FFFFFFFF"/>
      <name val="Calibri"/>
      <family val="0"/>
      <charset val="1"/>
    </font>
    <font>
      <b val="true"/>
      <sz val="10"/>
      <color rgb="FFFFFFFF"/>
      <name val="Calibri"/>
      <family val="0"/>
      <charset val="1"/>
    </font>
    <font>
      <b val="true"/>
      <sz val="11"/>
      <color rgb="FF166534"/>
      <name val="Calibri"/>
      <family val="0"/>
      <charset val="1"/>
    </font>
    <font>
      <b val="true"/>
      <sz val="10"/>
      <color rgb="FF991B1B"/>
      <name val="Calibri"/>
      <family val="0"/>
      <charset val="1"/>
    </font>
    <font>
      <b val="true"/>
      <sz val="11"/>
      <color rgb="FF991B1B"/>
      <name val="Calibri"/>
      <family val="0"/>
      <charset val="1"/>
    </font>
    <font>
      <b val="true"/>
      <sz val="12"/>
      <color rgb="FFC9A84C"/>
      <name val="Calibri"/>
      <family val="0"/>
      <charset val="1"/>
    </font>
    <font>
      <b val="true"/>
      <sz val="10"/>
      <color rgb="FF0F766E"/>
      <name val="Calibri"/>
      <family val="0"/>
      <charset val="1"/>
    </font>
    <font>
      <b val="true"/>
      <sz val="11"/>
      <color rgb="FF0F766E"/>
      <name val="Calibri"/>
      <family val="0"/>
      <charset val="1"/>
    </font>
    <font>
      <sz val="10"/>
      <color rgb="FF991B1B"/>
      <name val="Calibri"/>
      <family val="0"/>
      <charset val="1"/>
    </font>
    <font>
      <sz val="10"/>
      <color rgb="FF166534"/>
      <name val="Calibri"/>
      <family val="0"/>
      <charset val="1"/>
    </font>
    <font>
      <sz val="10"/>
      <color rgb="FF0F766E"/>
      <name val="Calibri"/>
      <family val="0"/>
      <charset val="1"/>
    </font>
    <font>
      <sz val="10"/>
      <color rgb="FF475569"/>
      <name val="Calibri"/>
      <family val="0"/>
      <charset val="1"/>
    </font>
    <font>
      <sz val="10"/>
      <color rgb="FF1D4ED8"/>
      <name val="Calibri"/>
      <family val="0"/>
      <charset val="1"/>
    </font>
    <font>
      <sz val="10"/>
      <color rgb="FF92400E"/>
      <name val="Calibri"/>
      <family val="0"/>
      <charset val="1"/>
    </font>
  </fonts>
  <fills count="13">
    <fill>
      <patternFill patternType="none"/>
    </fill>
    <fill>
      <patternFill patternType="gray125"/>
    </fill>
    <fill>
      <patternFill patternType="solid">
        <fgColor rgb="FF0F172A"/>
        <bgColor rgb="FF000000"/>
      </patternFill>
    </fill>
    <fill>
      <patternFill patternType="solid">
        <fgColor rgb="FFC9A84C"/>
        <bgColor rgb="FFFF9900"/>
      </patternFill>
    </fill>
    <fill>
      <patternFill patternType="solid">
        <fgColor rgb="FFFFFFFF"/>
        <bgColor rgb="FFF8FAFC"/>
      </patternFill>
    </fill>
    <fill>
      <patternFill patternType="solid">
        <fgColor rgb="FFF8FAFC"/>
        <bgColor rgb="FFFFFFFF"/>
      </patternFill>
    </fill>
    <fill>
      <patternFill patternType="solid">
        <fgColor rgb="FFEFF6FF"/>
        <bgColor rgb="FFF8FAFC"/>
      </patternFill>
    </fill>
    <fill>
      <patternFill patternType="solid">
        <fgColor rgb="FFFEF3C7"/>
        <bgColor rgb="FFFEE2E2"/>
      </patternFill>
    </fill>
    <fill>
      <patternFill patternType="solid">
        <fgColor rgb="FFDCFCE7"/>
        <bgColor rgb="FFCCFBF1"/>
      </patternFill>
    </fill>
    <fill>
      <patternFill patternType="solid">
        <fgColor rgb="FF475569"/>
        <bgColor rgb="FF333399"/>
      </patternFill>
    </fill>
    <fill>
      <patternFill patternType="solid">
        <fgColor rgb="FFFEE2E2"/>
        <bgColor rgb="FFFEF3C7"/>
      </patternFill>
    </fill>
    <fill>
      <patternFill patternType="solid">
        <fgColor rgb="FFCCFBF1"/>
        <bgColor rgb="FFDCFCE7"/>
      </patternFill>
    </fill>
    <fill>
      <patternFill patternType="solid">
        <fgColor rgb="FFDBEAFE"/>
        <bgColor rgb="FFEFF6FF"/>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2" shrinkToFit="false"/>
      <protection locked="true" hidden="false"/>
    </xf>
    <xf numFmtId="164" fontId="5" fillId="2" borderId="0" xfId="0" applyFont="true" applyBorder="true" applyAlignment="true" applyProtection="false">
      <alignment horizontal="left" vertical="center" textRotation="0" wrapText="true" indent="2" shrinkToFit="false"/>
      <protection locked="true" hidden="false"/>
    </xf>
    <xf numFmtId="164" fontId="0" fillId="3" borderId="0" xfId="0" applyFont="fals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1" shrinkToFit="false"/>
      <protection locked="true" hidden="false"/>
    </xf>
    <xf numFmtId="164" fontId="7" fillId="0" borderId="0" xfId="0" applyFont="true" applyBorder="true" applyAlignment="true" applyProtection="false">
      <alignment horizontal="left" vertical="center" textRotation="0" wrapText="true" indent="1" shrinkToFit="false"/>
      <protection locked="true" hidden="false"/>
    </xf>
    <xf numFmtId="164" fontId="8" fillId="4" borderId="1" xfId="0" applyFont="true" applyBorder="true" applyAlignment="true" applyProtection="false">
      <alignment horizontal="left" vertical="center" textRotation="0" wrapText="true" indent="1" shrinkToFit="false"/>
      <protection locked="true" hidden="false"/>
    </xf>
    <xf numFmtId="164" fontId="7" fillId="4" borderId="1" xfId="0" applyFont="true" applyBorder="true" applyAlignment="true" applyProtection="false">
      <alignment horizontal="left" vertical="center" textRotation="0" wrapText="true" indent="1" shrinkToFit="false"/>
      <protection locked="true" hidden="false"/>
    </xf>
    <xf numFmtId="164" fontId="9" fillId="4" borderId="1" xfId="0" applyFont="true" applyBorder="true" applyAlignment="true" applyProtection="false">
      <alignment horizontal="left" vertical="center" textRotation="0" wrapText="true" indent="1" shrinkToFit="false"/>
      <protection locked="true" hidden="false"/>
    </xf>
    <xf numFmtId="164" fontId="8" fillId="5" borderId="1" xfId="0" applyFont="true" applyBorder="true" applyAlignment="true" applyProtection="false">
      <alignment horizontal="left" vertical="center" textRotation="0" wrapText="true" indent="1" shrinkToFit="false"/>
      <protection locked="true" hidden="false"/>
    </xf>
    <xf numFmtId="164" fontId="7" fillId="5" borderId="1" xfId="0" applyFont="true" applyBorder="true" applyAlignment="true" applyProtection="false">
      <alignment horizontal="left" vertical="center" textRotation="0" wrapText="true" indent="1" shrinkToFit="false"/>
      <protection locked="true" hidden="false"/>
    </xf>
    <xf numFmtId="164" fontId="9" fillId="5" borderId="1" xfId="0" applyFont="true" applyBorder="true" applyAlignment="true" applyProtection="false">
      <alignment horizontal="left" vertical="center" textRotation="0" wrapText="true" indent="1" shrinkToFit="false"/>
      <protection locked="true" hidden="false"/>
    </xf>
    <xf numFmtId="164" fontId="8" fillId="6" borderId="1" xfId="0" applyFont="true" applyBorder="true" applyAlignment="true" applyProtection="false">
      <alignment horizontal="left" vertical="center" textRotation="0" wrapText="true" indent="1" shrinkToFit="false"/>
      <protection locked="true" hidden="false"/>
    </xf>
    <xf numFmtId="164" fontId="7" fillId="6" borderId="1" xfId="0" applyFont="true" applyBorder="true" applyAlignment="true" applyProtection="false">
      <alignment horizontal="left" vertical="center" textRotation="0" wrapText="true" indent="1" shrinkToFit="false"/>
      <protection locked="true" hidden="false"/>
    </xf>
    <xf numFmtId="164" fontId="10" fillId="4" borderId="1" xfId="0" applyFont="true" applyBorder="true" applyAlignment="true" applyProtection="false">
      <alignment horizontal="left" vertical="center" textRotation="0" wrapText="true" indent="1" shrinkToFit="false"/>
      <protection locked="true" hidden="false"/>
    </xf>
    <xf numFmtId="164" fontId="11" fillId="7" borderId="1" xfId="0" applyFont="true" applyBorder="true" applyAlignment="true" applyProtection="false">
      <alignment horizontal="left" vertical="center" textRotation="0" wrapText="true" indent="1" shrinkToFit="false"/>
      <protection locked="true" hidden="false"/>
    </xf>
    <xf numFmtId="164" fontId="7" fillId="7" borderId="1" xfId="0" applyFont="true" applyBorder="true" applyAlignment="true" applyProtection="false">
      <alignment horizontal="left" vertical="center" textRotation="0" wrapText="true" indent="1" shrinkToFit="false"/>
      <protection locked="true" hidden="false"/>
    </xf>
    <xf numFmtId="164" fontId="12" fillId="8" borderId="1" xfId="0" applyFont="true" applyBorder="true" applyAlignment="true" applyProtection="false">
      <alignment horizontal="left" vertical="center" textRotation="0" wrapText="true" indent="1" shrinkToFit="false"/>
      <protection locked="true" hidden="false"/>
    </xf>
    <xf numFmtId="164" fontId="7" fillId="8" borderId="1" xfId="0" applyFont="true" applyBorder="true" applyAlignment="true" applyProtection="false">
      <alignment horizontal="left" vertical="center" textRotation="0" wrapText="true" indent="1"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4" fillId="9" borderId="0" xfId="0" applyFont="true" applyBorder="true" applyAlignment="true" applyProtection="false">
      <alignment horizontal="left" vertical="center" textRotation="0" wrapText="true" indent="2" shrinkToFit="false"/>
      <protection locked="true" hidden="false"/>
    </xf>
    <xf numFmtId="164" fontId="15" fillId="2" borderId="1" xfId="0" applyFont="true" applyBorder="true" applyAlignment="true" applyProtection="false">
      <alignment horizontal="left" vertical="center" textRotation="0" wrapText="true" indent="1" shrinkToFit="false"/>
      <protection locked="true" hidden="false"/>
    </xf>
    <xf numFmtId="164" fontId="15" fillId="2" borderId="1" xfId="0" applyFont="true" applyBorder="true" applyAlignment="true" applyProtection="false">
      <alignment horizontal="center" vertical="center" textRotation="0" wrapText="false" indent="0" shrinkToFit="false"/>
      <protection locked="true" hidden="false"/>
    </xf>
    <xf numFmtId="165" fontId="8" fillId="6" borderId="1" xfId="0" applyFont="true" applyBorder="true" applyAlignment="true" applyProtection="false">
      <alignment horizontal="right" vertical="center" textRotation="0" wrapText="false" indent="0" shrinkToFit="false"/>
      <protection locked="true" hidden="false"/>
    </xf>
    <xf numFmtId="164" fontId="13" fillId="7" borderId="1" xfId="0" applyFont="true" applyBorder="true" applyAlignment="true" applyProtection="false">
      <alignment horizontal="left" vertical="center" textRotation="0" wrapText="true" indent="1" shrinkToFit="false"/>
      <protection locked="true" hidden="false"/>
    </xf>
    <xf numFmtId="164" fontId="13" fillId="5" borderId="1" xfId="0" applyFont="true" applyBorder="true" applyAlignment="true" applyProtection="false">
      <alignment horizontal="left" vertical="center" textRotation="0" wrapText="true" indent="1" shrinkToFit="false"/>
      <protection locked="true" hidden="false"/>
    </xf>
    <xf numFmtId="166" fontId="8" fillId="6" borderId="1" xfId="0" applyFont="true" applyBorder="true" applyAlignment="true" applyProtection="false">
      <alignment horizontal="right" vertical="center" textRotation="0" wrapText="false" indent="0" shrinkToFit="false"/>
      <protection locked="true" hidden="false"/>
    </xf>
    <xf numFmtId="167" fontId="8" fillId="6" borderId="1" xfId="0" applyFont="true" applyBorder="true" applyAlignment="true" applyProtection="false">
      <alignment horizontal="right" vertical="center" textRotation="0" wrapText="false" indent="0" shrinkToFit="false"/>
      <protection locked="true" hidden="false"/>
    </xf>
    <xf numFmtId="164" fontId="10" fillId="5" borderId="1" xfId="0" applyFont="true" applyBorder="true" applyAlignment="true" applyProtection="false">
      <alignment horizontal="left" vertical="center" textRotation="0" wrapText="true" indent="1" shrinkToFit="false"/>
      <protection locked="true" hidden="false"/>
    </xf>
    <xf numFmtId="165" fontId="6" fillId="5" borderId="1" xfId="0" applyFont="true" applyBorder="true" applyAlignment="true" applyProtection="false">
      <alignment horizontal="right" vertical="center" textRotation="0" wrapText="false" indent="0" shrinkToFit="false"/>
      <protection locked="true" hidden="false"/>
    </xf>
    <xf numFmtId="165" fontId="16" fillId="8" borderId="1" xfId="0" applyFont="true" applyBorder="true" applyAlignment="true" applyProtection="false">
      <alignment horizontal="right" vertical="center" textRotation="0" wrapText="false" indent="0" shrinkToFit="false"/>
      <protection locked="true" hidden="false"/>
    </xf>
    <xf numFmtId="164" fontId="17" fillId="10" borderId="1" xfId="0" applyFont="true" applyBorder="true" applyAlignment="true" applyProtection="false">
      <alignment horizontal="left" vertical="center" textRotation="0" wrapText="true" indent="1" shrinkToFit="false"/>
      <protection locked="true" hidden="false"/>
    </xf>
    <xf numFmtId="165" fontId="18" fillId="10" borderId="1" xfId="0" applyFont="true" applyBorder="true" applyAlignment="true" applyProtection="false">
      <alignment horizontal="right" vertical="center" textRotation="0" wrapText="false" indent="0" shrinkToFit="false"/>
      <protection locked="true" hidden="false"/>
    </xf>
    <xf numFmtId="165" fontId="19" fillId="2" borderId="1" xfId="0" applyFont="true" applyBorder="true" applyAlignment="true" applyProtection="false">
      <alignment horizontal="right" vertical="center" textRotation="0" wrapText="false" indent="0" shrinkToFit="false"/>
      <protection locked="true" hidden="false"/>
    </xf>
    <xf numFmtId="166" fontId="6" fillId="5" borderId="1" xfId="0" applyFont="true" applyBorder="true" applyAlignment="true" applyProtection="false">
      <alignment horizontal="right" vertical="center" textRotation="0" wrapText="false" indent="0" shrinkToFit="false"/>
      <protection locked="true" hidden="false"/>
    </xf>
    <xf numFmtId="166" fontId="16" fillId="8" borderId="1" xfId="0" applyFont="true" applyBorder="true" applyAlignment="true" applyProtection="false">
      <alignment horizontal="right" vertical="center" textRotation="0" wrapText="false" indent="0" shrinkToFit="false"/>
      <protection locked="true" hidden="false"/>
    </xf>
    <xf numFmtId="164" fontId="10" fillId="11" borderId="1" xfId="0" applyFont="true" applyBorder="true" applyAlignment="true" applyProtection="false">
      <alignment horizontal="left" vertical="center" textRotation="0" wrapText="true" indent="1" shrinkToFit="false"/>
      <protection locked="true" hidden="false"/>
    </xf>
    <xf numFmtId="165" fontId="6" fillId="11" borderId="1" xfId="0" applyFont="true" applyBorder="true" applyAlignment="true" applyProtection="false">
      <alignment horizontal="right" vertical="center" textRotation="0" wrapText="false" indent="0" shrinkToFit="false"/>
      <protection locked="true" hidden="false"/>
    </xf>
    <xf numFmtId="165" fontId="7" fillId="5" borderId="1" xfId="0" applyFont="true" applyBorder="true" applyAlignment="true" applyProtection="false">
      <alignment horizontal="right" vertical="center" textRotation="0" wrapText="false" indent="0" shrinkToFit="false"/>
      <protection locked="true" hidden="false"/>
    </xf>
    <xf numFmtId="164" fontId="20" fillId="11" borderId="1" xfId="0" applyFont="true" applyBorder="true" applyAlignment="true" applyProtection="false">
      <alignment horizontal="left" vertical="center" textRotation="0" wrapText="true" indent="1" shrinkToFit="false"/>
      <protection locked="true" hidden="false"/>
    </xf>
    <xf numFmtId="165" fontId="21" fillId="11" borderId="1" xfId="0" applyFont="true" applyBorder="true" applyAlignment="true" applyProtection="false">
      <alignment horizontal="right" vertical="center" textRotation="0" wrapText="false" indent="0" shrinkToFit="false"/>
      <protection locked="true" hidden="false"/>
    </xf>
    <xf numFmtId="164" fontId="22" fillId="10" borderId="1" xfId="0" applyFont="true" applyBorder="true" applyAlignment="true" applyProtection="false">
      <alignment horizontal="left" vertical="center" textRotation="0" wrapText="true" indent="1" shrinkToFit="false"/>
      <protection locked="true" hidden="false"/>
    </xf>
    <xf numFmtId="165" fontId="22" fillId="10" borderId="1" xfId="0" applyFont="true" applyBorder="true" applyAlignment="true" applyProtection="false">
      <alignment horizontal="right" vertical="center" textRotation="0" wrapText="false" indent="0" shrinkToFit="false"/>
      <protection locked="true" hidden="false"/>
    </xf>
    <xf numFmtId="164" fontId="23" fillId="8" borderId="1" xfId="0" applyFont="true" applyBorder="true" applyAlignment="true" applyProtection="false">
      <alignment horizontal="left" vertical="center" textRotation="0" wrapText="true" indent="1" shrinkToFit="false"/>
      <protection locked="true" hidden="false"/>
    </xf>
    <xf numFmtId="166" fontId="23" fillId="8" borderId="1" xfId="0" applyFont="true" applyBorder="true" applyAlignment="true" applyProtection="false">
      <alignment horizontal="right" vertical="center" textRotation="0" wrapText="false" indent="0" shrinkToFit="false"/>
      <protection locked="true" hidden="false"/>
    </xf>
    <xf numFmtId="164" fontId="24" fillId="11" borderId="1" xfId="0" applyFont="true" applyBorder="true" applyAlignment="true" applyProtection="false">
      <alignment horizontal="left" vertical="center" textRotation="0" wrapText="true" indent="1" shrinkToFit="false"/>
      <protection locked="true" hidden="false"/>
    </xf>
    <xf numFmtId="166" fontId="24" fillId="11" borderId="1" xfId="0" applyFont="true" applyBorder="true" applyAlignment="true" applyProtection="false">
      <alignment horizontal="right" vertical="center" textRotation="0" wrapText="false" indent="0" shrinkToFit="false"/>
      <protection locked="true" hidden="false"/>
    </xf>
    <xf numFmtId="164" fontId="25" fillId="5" borderId="1" xfId="0" applyFont="true" applyBorder="true" applyAlignment="true" applyProtection="false">
      <alignment horizontal="left" vertical="center" textRotation="0" wrapText="true" indent="1" shrinkToFit="false"/>
      <protection locked="true" hidden="false"/>
    </xf>
    <xf numFmtId="165" fontId="25" fillId="5" borderId="1" xfId="0" applyFont="true" applyBorder="true" applyAlignment="true" applyProtection="false">
      <alignment horizontal="right" vertical="center" textRotation="0" wrapText="false" indent="0" shrinkToFit="false"/>
      <protection locked="true" hidden="false"/>
    </xf>
    <xf numFmtId="164" fontId="22" fillId="5" borderId="1" xfId="0" applyFont="true" applyBorder="true" applyAlignment="true" applyProtection="false">
      <alignment horizontal="left" vertical="center" textRotation="0" wrapText="true" indent="1" shrinkToFit="false"/>
      <protection locked="true" hidden="false"/>
    </xf>
    <xf numFmtId="165" fontId="22" fillId="5" borderId="1" xfId="0" applyFont="true" applyBorder="true" applyAlignment="true" applyProtection="false">
      <alignment horizontal="right" vertical="center" textRotation="0" wrapText="false" indent="0" shrinkToFit="false"/>
      <protection locked="true" hidden="false"/>
    </xf>
    <xf numFmtId="165" fontId="7" fillId="8" borderId="1" xfId="0" applyFont="true" applyBorder="true" applyAlignment="true" applyProtection="false">
      <alignment horizontal="right" vertical="center" textRotation="0" wrapText="false" indent="0" shrinkToFit="false"/>
      <protection locked="true" hidden="false"/>
    </xf>
    <xf numFmtId="164" fontId="26" fillId="12" borderId="1" xfId="0" applyFont="true" applyBorder="true" applyAlignment="true" applyProtection="false">
      <alignment horizontal="left" vertical="center" textRotation="0" wrapText="true" indent="1" shrinkToFit="false"/>
      <protection locked="true" hidden="false"/>
    </xf>
    <xf numFmtId="165" fontId="0" fillId="5" borderId="1" xfId="0" applyFont="false" applyBorder="true" applyAlignment="true" applyProtection="false">
      <alignment horizontal="right" vertical="center" textRotation="0" wrapText="false" indent="0" shrinkToFit="false"/>
      <protection locked="true" hidden="false"/>
    </xf>
    <xf numFmtId="166" fontId="7" fillId="5" borderId="1" xfId="0" applyFont="true" applyBorder="true" applyAlignment="true" applyProtection="false">
      <alignment horizontal="right" vertical="center" textRotation="0" wrapText="false" indent="0" shrinkToFit="false"/>
      <protection locked="true" hidden="false"/>
    </xf>
    <xf numFmtId="166" fontId="21" fillId="11" borderId="1" xfId="0" applyFont="true" applyBorder="true" applyAlignment="true" applyProtection="false">
      <alignment horizontal="right" vertical="center" textRotation="0" wrapText="false" indent="0" shrinkToFit="false"/>
      <protection locked="true" hidden="false"/>
    </xf>
    <xf numFmtId="164" fontId="27" fillId="7" borderId="1" xfId="0" applyFont="true" applyBorder="true" applyAlignment="true" applyProtection="false">
      <alignment horizontal="left" vertical="center" textRotation="0" wrapText="true" indent="1" shrinkToFit="false"/>
      <protection locked="true" hidden="false"/>
    </xf>
    <xf numFmtId="168" fontId="27" fillId="7" borderId="1" xfId="0" applyFont="true" applyBorder="true" applyAlignment="true" applyProtection="false">
      <alignment horizontal="right" vertical="center" textRotation="0" wrapText="false" indent="0" shrinkToFit="false"/>
      <protection locked="true" hidden="false"/>
    </xf>
    <xf numFmtId="169" fontId="16" fillId="8" borderId="1" xfId="0" applyFont="true" applyBorder="true" applyAlignment="true" applyProtection="false">
      <alignment horizontal="right" vertical="center" textRotation="0" wrapText="false" indent="0" shrinkToFit="false"/>
      <protection locked="true" hidden="false"/>
    </xf>
    <xf numFmtId="169" fontId="21" fillId="11" borderId="1" xfId="0" applyFont="true" applyBorder="true" applyAlignment="true" applyProtection="false">
      <alignment horizontal="right" vertical="center" textRotation="0" wrapText="false" indent="0" shrinkToFit="false"/>
      <protection locked="true" hidden="false"/>
    </xf>
    <xf numFmtId="168" fontId="7" fillId="5" borderId="1" xfId="0" applyFont="true" applyBorder="true" applyAlignment="true" applyProtection="false">
      <alignment horizontal="right" vertical="center" textRotation="0" wrapText="false" indent="0" shrinkToFit="false"/>
      <protection locked="true" hidden="false"/>
    </xf>
    <xf numFmtId="167" fontId="7" fillId="5" borderId="1"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991B1B"/>
      <rgbColor rgb="FF166534"/>
      <rgbColor rgb="FF000080"/>
      <rgbColor rgb="FF808000"/>
      <rgbColor rgb="FF800080"/>
      <rgbColor rgb="FF0F766E"/>
      <rgbColor rgb="FFEFF6FF"/>
      <rgbColor rgb="FF808080"/>
      <rgbColor rgb="FF9999FF"/>
      <rgbColor rgb="FFB45309"/>
      <rgbColor rgb="FFFEF3C7"/>
      <rgbColor rgb="FFCCFBF1"/>
      <rgbColor rgb="FF660066"/>
      <rgbColor rgb="FFFF8080"/>
      <rgbColor rgb="FF1D4ED8"/>
      <rgbColor rgb="FFD1D5DB"/>
      <rgbColor rgb="FF000080"/>
      <rgbColor rgb="FFFF00FF"/>
      <rgbColor rgb="FFFFFF00"/>
      <rgbColor rgb="FF00FFFF"/>
      <rgbColor rgb="FF800080"/>
      <rgbColor rgb="FF800000"/>
      <rgbColor rgb="FF008080"/>
      <rgbColor rgb="FF0000FF"/>
      <rgbColor rgb="FF00CCFF"/>
      <rgbColor rgb="FFDCFCE7"/>
      <rgbColor rgb="FFDBEAFE"/>
      <rgbColor rgb="FFF8FAFC"/>
      <rgbColor rgb="FF99CCFF"/>
      <rgbColor rgb="FFFF99CC"/>
      <rgbColor rgb="FFCC99FF"/>
      <rgbColor rgb="FFFEE2E2"/>
      <rgbColor rgb="FF3366FF"/>
      <rgbColor rgb="FF33CCCC"/>
      <rgbColor rgb="FF99CC00"/>
      <rgbColor rgb="FFFFCC00"/>
      <rgbColor rgb="FFFF9900"/>
      <rgbColor rgb="FFFF6600"/>
      <rgbColor rgb="FF475569"/>
      <rgbColor rgb="FFC9A84C"/>
      <rgbColor rgb="FF003366"/>
      <rgbColor rgb="FF339966"/>
      <rgbColor rgb="FF0F172A"/>
      <rgbColor rgb="FF333300"/>
      <rgbColor rgb="FF92400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172A"/>
    <pageSetUpPr fitToPage="false"/>
  </sheetPr>
  <dimension ref="B1: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24"/>
    <col collapsed="false" customWidth="true" hidden="false" outlineLevel="0" max="3" min="3" style="1" width="46"/>
    <col collapsed="false" customWidth="true" hidden="false" outlineLevel="0" max="4" min="4" style="1" width="22"/>
    <col collapsed="false" customWidth="true" hidden="false" outlineLevel="0" max="5" min="5" style="1" width="4"/>
  </cols>
  <sheetData>
    <row r="1" customFormat="false" ht="27.75" hidden="false" customHeight="true" outlineLevel="0" collapsed="false">
      <c r="B1" s="2" t="s">
        <v>0</v>
      </c>
      <c r="C1" s="2"/>
      <c r="D1" s="2"/>
    </row>
    <row r="2" customFormat="false" ht="15.75" hidden="false" customHeight="true" outlineLevel="0" collapsed="false">
      <c r="B2" s="3" t="s">
        <v>1</v>
      </c>
      <c r="C2" s="3"/>
      <c r="D2" s="3"/>
    </row>
    <row r="3" customFormat="false" ht="3" hidden="false" customHeight="true" outlineLevel="0" collapsed="false">
      <c r="B3" s="4"/>
      <c r="C3" s="4"/>
      <c r="D3" s="4"/>
    </row>
    <row r="4" customFormat="false" ht="7.5" hidden="false" customHeight="true" outlineLevel="0" collapsed="false"/>
    <row r="5" customFormat="false" ht="19.5" hidden="false" customHeight="true" outlineLevel="0" collapsed="false">
      <c r="B5" s="5" t="s">
        <v>2</v>
      </c>
      <c r="C5" s="5"/>
      <c r="D5" s="5"/>
    </row>
    <row r="6" customFormat="false" ht="27.75" hidden="false" customHeight="true" outlineLevel="0" collapsed="false">
      <c r="B6" s="6" t="s">
        <v>3</v>
      </c>
      <c r="C6" s="6"/>
      <c r="D6" s="6"/>
    </row>
    <row r="7" customFormat="false" ht="27.75" hidden="false" customHeight="true" outlineLevel="0" collapsed="false">
      <c r="B7" s="6"/>
      <c r="C7" s="6"/>
      <c r="D7" s="6"/>
    </row>
    <row r="8" customFormat="false" ht="27.75" hidden="false" customHeight="true" outlineLevel="0" collapsed="false">
      <c r="B8" s="6"/>
      <c r="C8" s="6"/>
      <c r="D8" s="6"/>
    </row>
    <row r="9" customFormat="false" ht="7.5" hidden="false" customHeight="true" outlineLevel="0" collapsed="false"/>
    <row r="10" customFormat="false" ht="19.5" hidden="false" customHeight="true" outlineLevel="0" collapsed="false">
      <c r="B10" s="5" t="s">
        <v>4</v>
      </c>
      <c r="C10" s="5"/>
      <c r="D10" s="5"/>
    </row>
    <row r="11" customFormat="false" ht="30" hidden="false" customHeight="true" outlineLevel="0" collapsed="false">
      <c r="B11" s="7" t="s">
        <v>5</v>
      </c>
      <c r="C11" s="8" t="s">
        <v>6</v>
      </c>
      <c r="D11" s="9" t="s">
        <v>7</v>
      </c>
    </row>
    <row r="12" customFormat="false" ht="30" hidden="false" customHeight="true" outlineLevel="0" collapsed="false">
      <c r="B12" s="10" t="s">
        <v>8</v>
      </c>
      <c r="C12" s="11" t="s">
        <v>9</v>
      </c>
      <c r="D12" s="12" t="s">
        <v>10</v>
      </c>
    </row>
    <row r="13" customFormat="false" ht="30" hidden="false" customHeight="true" outlineLevel="0" collapsed="false">
      <c r="B13" s="7" t="s">
        <v>11</v>
      </c>
      <c r="C13" s="8" t="s">
        <v>12</v>
      </c>
      <c r="D13" s="9" t="s">
        <v>13</v>
      </c>
    </row>
    <row r="14" customFormat="false" ht="30" hidden="false" customHeight="true" outlineLevel="0" collapsed="false">
      <c r="B14" s="10" t="s">
        <v>14</v>
      </c>
      <c r="C14" s="11" t="s">
        <v>15</v>
      </c>
      <c r="D14" s="12" t="s">
        <v>16</v>
      </c>
    </row>
    <row r="15" customFormat="false" ht="30" hidden="false" customHeight="true" outlineLevel="0" collapsed="false">
      <c r="B15" s="7" t="s">
        <v>17</v>
      </c>
      <c r="C15" s="8" t="s">
        <v>18</v>
      </c>
      <c r="D15" s="9" t="s">
        <v>19</v>
      </c>
    </row>
    <row r="16" customFormat="false" ht="30" hidden="false" customHeight="true" outlineLevel="0" collapsed="false">
      <c r="B16" s="10" t="s">
        <v>20</v>
      </c>
      <c r="C16" s="11" t="s">
        <v>21</v>
      </c>
      <c r="D16" s="12" t="s">
        <v>22</v>
      </c>
    </row>
    <row r="17" customFormat="false" ht="30" hidden="false" customHeight="true" outlineLevel="0" collapsed="false">
      <c r="B17" s="7" t="s">
        <v>23</v>
      </c>
      <c r="C17" s="8" t="s">
        <v>24</v>
      </c>
      <c r="D17" s="9" t="s">
        <v>25</v>
      </c>
    </row>
    <row r="18" customFormat="false" ht="7.5" hidden="false" customHeight="true" outlineLevel="0" collapsed="false"/>
    <row r="19" customFormat="false" ht="19.5" hidden="false" customHeight="true" outlineLevel="0" collapsed="false">
      <c r="B19" s="5" t="s">
        <v>26</v>
      </c>
      <c r="C19" s="5"/>
      <c r="D19" s="5"/>
    </row>
    <row r="20" customFormat="false" ht="19.5" hidden="false" customHeight="true" outlineLevel="0" collapsed="false">
      <c r="B20" s="13" t="s">
        <v>27</v>
      </c>
      <c r="C20" s="14" t="s">
        <v>28</v>
      </c>
      <c r="D20" s="14"/>
    </row>
    <row r="21" customFormat="false" ht="19.5" hidden="false" customHeight="true" outlineLevel="0" collapsed="false">
      <c r="B21" s="15" t="s">
        <v>29</v>
      </c>
      <c r="C21" s="8" t="s">
        <v>30</v>
      </c>
      <c r="D21" s="8"/>
    </row>
    <row r="22" customFormat="false" ht="19.5" hidden="false" customHeight="true" outlineLevel="0" collapsed="false">
      <c r="B22" s="16" t="s">
        <v>31</v>
      </c>
      <c r="C22" s="17" t="s">
        <v>32</v>
      </c>
      <c r="D22" s="17"/>
    </row>
    <row r="23" customFormat="false" ht="19.5" hidden="false" customHeight="true" outlineLevel="0" collapsed="false">
      <c r="B23" s="18" t="s">
        <v>33</v>
      </c>
      <c r="C23" s="19" t="s">
        <v>34</v>
      </c>
      <c r="D23" s="19"/>
    </row>
    <row r="25" customFormat="false" ht="18" hidden="false" customHeight="true" outlineLevel="0" collapsed="false">
      <c r="B25" s="20" t="s">
        <v>35</v>
      </c>
      <c r="C25" s="20"/>
      <c r="D25" s="20"/>
    </row>
  </sheetData>
  <mergeCells count="12">
    <mergeCell ref="B1:D1"/>
    <mergeCell ref="B2:D2"/>
    <mergeCell ref="B3:D3"/>
    <mergeCell ref="B5:D5"/>
    <mergeCell ref="B6:D8"/>
    <mergeCell ref="B10:D10"/>
    <mergeCell ref="B19:D19"/>
    <mergeCell ref="C20:D20"/>
    <mergeCell ref="C21:D21"/>
    <mergeCell ref="C22:D22"/>
    <mergeCell ref="C23:D23"/>
    <mergeCell ref="B25:D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45309"/>
    <pageSetUpPr fitToPage="false"/>
  </sheetPr>
  <dimension ref="B1:H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36"/>
    <col collapsed="false" customWidth="true" hidden="false" outlineLevel="0" max="7" min="3" style="1" width="14"/>
    <col collapsed="false" customWidth="true" hidden="false" outlineLevel="0" max="8" min="8" style="1" width="16"/>
    <col collapsed="false" customWidth="true" hidden="false" outlineLevel="0" max="9" min="9" style="1" width="4"/>
  </cols>
  <sheetData>
    <row r="1" customFormat="false" ht="30" hidden="false" customHeight="true" outlineLevel="0" collapsed="false">
      <c r="B1" s="2" t="s">
        <v>36</v>
      </c>
      <c r="C1" s="2"/>
      <c r="D1" s="2"/>
      <c r="E1" s="2"/>
      <c r="F1" s="2"/>
      <c r="G1" s="2"/>
      <c r="H1" s="2"/>
    </row>
    <row r="2" customFormat="false" ht="15.75" hidden="false" customHeight="true" outlineLevel="0" collapsed="false">
      <c r="B2" s="3" t="s">
        <v>37</v>
      </c>
      <c r="C2" s="3"/>
      <c r="D2" s="3"/>
      <c r="E2" s="3"/>
      <c r="F2" s="3"/>
      <c r="G2" s="3"/>
      <c r="H2" s="3"/>
    </row>
    <row r="3" customFormat="false" ht="7.5" hidden="false" customHeight="true" outlineLevel="0" collapsed="false"/>
    <row r="4" customFormat="false" ht="19.5" hidden="false" customHeight="true" outlineLevel="0" collapsed="false">
      <c r="B4" s="21" t="s">
        <v>38</v>
      </c>
      <c r="C4" s="21"/>
      <c r="D4" s="21"/>
      <c r="E4" s="21"/>
      <c r="F4" s="21"/>
      <c r="G4" s="21"/>
      <c r="H4" s="21"/>
    </row>
    <row r="5" customFormat="false" ht="21.75" hidden="false" customHeight="true" outlineLevel="0" collapsed="false">
      <c r="B5" s="22" t="s">
        <v>39</v>
      </c>
      <c r="C5" s="23" t="s">
        <v>40</v>
      </c>
      <c r="D5" s="23" t="s">
        <v>41</v>
      </c>
      <c r="E5" s="23" t="s">
        <v>42</v>
      </c>
      <c r="F5" s="23" t="s">
        <v>43</v>
      </c>
      <c r="G5" s="23" t="s">
        <v>44</v>
      </c>
      <c r="H5" s="23" t="s">
        <v>45</v>
      </c>
    </row>
    <row r="6" customFormat="false" ht="19.5" hidden="false" customHeight="true" outlineLevel="0" collapsed="false">
      <c r="B6" s="17" t="s">
        <v>46</v>
      </c>
      <c r="C6" s="24" t="n">
        <v>15000000</v>
      </c>
      <c r="D6" s="24" t="n">
        <v>21000000</v>
      </c>
      <c r="E6" s="24" t="n">
        <v>29400000</v>
      </c>
      <c r="F6" s="24" t="n">
        <v>40000000</v>
      </c>
      <c r="G6" s="24" t="n">
        <v>52000000</v>
      </c>
      <c r="H6" s="25" t="s">
        <v>47</v>
      </c>
    </row>
    <row r="7" customFormat="false" ht="19.5" hidden="false" customHeight="true" outlineLevel="0" collapsed="false">
      <c r="B7" s="17" t="s">
        <v>48</v>
      </c>
      <c r="C7" s="24" t="n">
        <v>3500000</v>
      </c>
      <c r="D7" s="24" t="n">
        <v>5000000</v>
      </c>
      <c r="E7" s="24" t="n">
        <v>6500000</v>
      </c>
      <c r="F7" s="24" t="n">
        <v>8000000</v>
      </c>
      <c r="G7" s="24" t="n">
        <v>9500000</v>
      </c>
      <c r="H7" s="25" t="s">
        <v>49</v>
      </c>
    </row>
    <row r="8" customFormat="false" ht="19.5" hidden="false" customHeight="true" outlineLevel="0" collapsed="false">
      <c r="B8" s="11" t="s">
        <v>50</v>
      </c>
      <c r="C8" s="24" t="n">
        <v>1200000</v>
      </c>
      <c r="D8" s="24" t="n">
        <v>1800000</v>
      </c>
      <c r="E8" s="24" t="n">
        <v>2500000</v>
      </c>
      <c r="F8" s="24" t="n">
        <v>3200000</v>
      </c>
      <c r="G8" s="24" t="n">
        <v>4000000</v>
      </c>
      <c r="H8" s="26" t="s">
        <v>51</v>
      </c>
    </row>
    <row r="9" customFormat="false" ht="19.5" hidden="false" customHeight="true" outlineLevel="0" collapsed="false">
      <c r="B9" s="11" t="s">
        <v>52</v>
      </c>
      <c r="C9" s="24" t="n">
        <v>-400000</v>
      </c>
      <c r="D9" s="24" t="n">
        <v>-550000</v>
      </c>
      <c r="E9" s="24" t="n">
        <v>-700000</v>
      </c>
      <c r="F9" s="24" t="n">
        <v>-900000</v>
      </c>
      <c r="G9" s="24" t="n">
        <v>-1100000</v>
      </c>
      <c r="H9" s="26" t="s">
        <v>53</v>
      </c>
    </row>
    <row r="10" customFormat="false" ht="19.5" hidden="false" customHeight="true" outlineLevel="0" collapsed="false">
      <c r="B10" s="17" t="s">
        <v>54</v>
      </c>
      <c r="C10" s="24" t="n">
        <v>-300000</v>
      </c>
      <c r="D10" s="24" t="n">
        <v>-450000</v>
      </c>
      <c r="E10" s="24" t="n">
        <v>-600000</v>
      </c>
      <c r="F10" s="24" t="n">
        <v>-800000</v>
      </c>
      <c r="G10" s="24" t="n">
        <v>-1000000</v>
      </c>
      <c r="H10" s="25" t="s">
        <v>55</v>
      </c>
    </row>
    <row r="11" customFormat="false" ht="19.5" hidden="false" customHeight="true" outlineLevel="0" collapsed="false">
      <c r="B11" s="11" t="s">
        <v>56</v>
      </c>
      <c r="C11" s="27" t="n">
        <v>0.55</v>
      </c>
      <c r="D11" s="27" t="n">
        <v>0.58</v>
      </c>
      <c r="E11" s="27" t="n">
        <v>0.6</v>
      </c>
      <c r="F11" s="27" t="n">
        <v>0.62</v>
      </c>
      <c r="G11" s="27" t="n">
        <v>0.65</v>
      </c>
      <c r="H11" s="26" t="s">
        <v>57</v>
      </c>
    </row>
    <row r="12" customFormat="false" ht="7.5" hidden="false" customHeight="true" outlineLevel="0" collapsed="false"/>
    <row r="13" customFormat="false" ht="19.5" hidden="false" customHeight="true" outlineLevel="0" collapsed="false">
      <c r="B13" s="21" t="s">
        <v>58</v>
      </c>
      <c r="C13" s="21"/>
      <c r="D13" s="21"/>
      <c r="E13" s="21"/>
      <c r="F13" s="21"/>
      <c r="G13" s="21"/>
      <c r="H13" s="21"/>
    </row>
    <row r="14" customFormat="false" ht="21.75" hidden="false" customHeight="true" outlineLevel="0" collapsed="false">
      <c r="B14" s="22" t="s">
        <v>39</v>
      </c>
      <c r="C14" s="23" t="s">
        <v>40</v>
      </c>
      <c r="D14" s="23" t="s">
        <v>41</v>
      </c>
      <c r="E14" s="23" t="s">
        <v>42</v>
      </c>
      <c r="F14" s="23" t="s">
        <v>43</v>
      </c>
      <c r="G14" s="23" t="s">
        <v>44</v>
      </c>
      <c r="H14" s="23" t="s">
        <v>45</v>
      </c>
    </row>
    <row r="15" customFormat="false" ht="19.5" hidden="false" customHeight="true" outlineLevel="0" collapsed="false">
      <c r="B15" s="17" t="s">
        <v>59</v>
      </c>
      <c r="C15" s="27" t="n">
        <v>0.72</v>
      </c>
      <c r="D15" s="27" t="n">
        <v>0.73</v>
      </c>
      <c r="E15" s="27" t="n">
        <v>0.74</v>
      </c>
      <c r="F15" s="27" t="n">
        <v>0.75</v>
      </c>
      <c r="G15" s="27" t="n">
        <v>0.76</v>
      </c>
      <c r="H15" s="25" t="s">
        <v>60</v>
      </c>
    </row>
    <row r="16" customFormat="false" ht="19.5" hidden="false" customHeight="true" outlineLevel="0" collapsed="false">
      <c r="B16" s="11" t="s">
        <v>61</v>
      </c>
      <c r="C16" s="24" t="n">
        <v>600000</v>
      </c>
      <c r="D16" s="24" t="n">
        <v>800000</v>
      </c>
      <c r="E16" s="24" t="n">
        <v>1000000</v>
      </c>
      <c r="F16" s="24" t="n">
        <v>1200000</v>
      </c>
      <c r="G16" s="24" t="n">
        <v>1500000</v>
      </c>
      <c r="H16" s="26" t="s">
        <v>62</v>
      </c>
    </row>
    <row r="17" customFormat="false" ht="19.5" hidden="false" customHeight="true" outlineLevel="0" collapsed="false">
      <c r="B17" s="11" t="s">
        <v>63</v>
      </c>
      <c r="C17" s="27" t="n">
        <v>0.15</v>
      </c>
      <c r="D17" s="27" t="n">
        <v>0.18</v>
      </c>
      <c r="E17" s="27" t="n">
        <v>0.2</v>
      </c>
      <c r="F17" s="27" t="n">
        <v>0.22</v>
      </c>
      <c r="G17" s="27" t="n">
        <v>0.25</v>
      </c>
      <c r="H17" s="26" t="s">
        <v>64</v>
      </c>
    </row>
    <row r="18" customFormat="false" ht="7.5" hidden="false" customHeight="true" outlineLevel="0" collapsed="false"/>
    <row r="19" customFormat="false" ht="19.5" hidden="false" customHeight="true" outlineLevel="0" collapsed="false">
      <c r="B19" s="21" t="s">
        <v>65</v>
      </c>
      <c r="C19" s="21"/>
      <c r="D19" s="21"/>
      <c r="E19" s="21"/>
      <c r="F19" s="21"/>
      <c r="G19" s="21"/>
      <c r="H19" s="21"/>
    </row>
    <row r="20" customFormat="false" ht="21.75" hidden="false" customHeight="true" outlineLevel="0" collapsed="false">
      <c r="B20" s="22" t="s">
        <v>39</v>
      </c>
      <c r="C20" s="23" t="s">
        <v>40</v>
      </c>
      <c r="D20" s="23" t="s">
        <v>41</v>
      </c>
      <c r="E20" s="23" t="s">
        <v>42</v>
      </c>
      <c r="F20" s="23" t="s">
        <v>43</v>
      </c>
      <c r="G20" s="23" t="s">
        <v>44</v>
      </c>
      <c r="H20" s="23" t="s">
        <v>45</v>
      </c>
    </row>
    <row r="21" customFormat="false" ht="19.5" hidden="false" customHeight="true" outlineLevel="0" collapsed="false">
      <c r="B21" s="17" t="s">
        <v>66</v>
      </c>
      <c r="C21" s="27" t="n">
        <v>0.38</v>
      </c>
      <c r="D21" s="27" t="n">
        <v>0.35</v>
      </c>
      <c r="E21" s="27" t="n">
        <v>0.32</v>
      </c>
      <c r="F21" s="27" t="n">
        <v>0.3</v>
      </c>
      <c r="G21" s="27" t="n">
        <v>0.28</v>
      </c>
      <c r="H21" s="25" t="s">
        <v>67</v>
      </c>
    </row>
    <row r="22" customFormat="false" ht="19.5" hidden="false" customHeight="true" outlineLevel="0" collapsed="false">
      <c r="B22" s="11" t="s">
        <v>68</v>
      </c>
      <c r="C22" s="27" t="n">
        <v>0.22</v>
      </c>
      <c r="D22" s="27" t="n">
        <v>0.21</v>
      </c>
      <c r="E22" s="27" t="n">
        <v>0.2</v>
      </c>
      <c r="F22" s="27" t="n">
        <v>0.19</v>
      </c>
      <c r="G22" s="27" t="n">
        <v>0.18</v>
      </c>
      <c r="H22" s="26" t="s">
        <v>69</v>
      </c>
    </row>
    <row r="23" customFormat="false" ht="19.5" hidden="false" customHeight="true" outlineLevel="0" collapsed="false">
      <c r="B23" s="11" t="s">
        <v>70</v>
      </c>
      <c r="C23" s="27" t="n">
        <v>0.12</v>
      </c>
      <c r="D23" s="27" t="n">
        <v>0.11</v>
      </c>
      <c r="E23" s="27" t="n">
        <v>0.1</v>
      </c>
      <c r="F23" s="27" t="n">
        <v>0.09</v>
      </c>
      <c r="G23" s="27" t="n">
        <v>0.09</v>
      </c>
      <c r="H23" s="26" t="s">
        <v>71</v>
      </c>
    </row>
    <row r="24" customFormat="false" ht="7.5" hidden="false" customHeight="true" outlineLevel="0" collapsed="false"/>
    <row r="25" customFormat="false" ht="19.5" hidden="false" customHeight="true" outlineLevel="0" collapsed="false">
      <c r="B25" s="21" t="s">
        <v>72</v>
      </c>
      <c r="C25" s="21"/>
      <c r="D25" s="21"/>
      <c r="E25" s="21"/>
      <c r="F25" s="21"/>
      <c r="G25" s="21"/>
      <c r="H25" s="21"/>
    </row>
    <row r="26" customFormat="false" ht="21.75" hidden="false" customHeight="true" outlineLevel="0" collapsed="false">
      <c r="B26" s="22" t="s">
        <v>39</v>
      </c>
      <c r="C26" s="23" t="s">
        <v>40</v>
      </c>
      <c r="D26" s="23" t="s">
        <v>41</v>
      </c>
      <c r="E26" s="23" t="s">
        <v>42</v>
      </c>
      <c r="F26" s="23" t="s">
        <v>43</v>
      </c>
      <c r="G26" s="23" t="s">
        <v>44</v>
      </c>
      <c r="H26" s="23" t="s">
        <v>45</v>
      </c>
    </row>
    <row r="27" customFormat="false" ht="19.5" hidden="false" customHeight="true" outlineLevel="0" collapsed="false">
      <c r="B27" s="11" t="s">
        <v>73</v>
      </c>
      <c r="C27" s="28" t="n">
        <v>85</v>
      </c>
      <c r="D27" s="28" t="n">
        <v>110</v>
      </c>
      <c r="E27" s="28" t="n">
        <v>140</v>
      </c>
      <c r="F27" s="28" t="n">
        <v>175</v>
      </c>
      <c r="G27" s="28" t="n">
        <v>215</v>
      </c>
      <c r="H27" s="26" t="s">
        <v>74</v>
      </c>
    </row>
    <row r="28" customFormat="false" ht="19.5" hidden="false" customHeight="true" outlineLevel="0" collapsed="false">
      <c r="B28" s="17" t="s">
        <v>75</v>
      </c>
      <c r="C28" s="24" t="n">
        <v>115000</v>
      </c>
      <c r="D28" s="24" t="n">
        <v>118000</v>
      </c>
      <c r="E28" s="24" t="n">
        <v>121000</v>
      </c>
      <c r="F28" s="24" t="n">
        <v>124000</v>
      </c>
      <c r="G28" s="24" t="n">
        <v>127000</v>
      </c>
      <c r="H28" s="25" t="s">
        <v>76</v>
      </c>
    </row>
    <row r="29" customFormat="false" ht="19.5" hidden="false" customHeight="true" outlineLevel="0" collapsed="false">
      <c r="B29" s="11" t="s">
        <v>77</v>
      </c>
      <c r="C29" s="24" t="n">
        <v>18000</v>
      </c>
      <c r="D29" s="24" t="n">
        <v>17000</v>
      </c>
      <c r="E29" s="24" t="n">
        <v>16000</v>
      </c>
      <c r="F29" s="24" t="n">
        <v>15000</v>
      </c>
      <c r="G29" s="24" t="n">
        <v>14000</v>
      </c>
      <c r="H29" s="26" t="s">
        <v>78</v>
      </c>
    </row>
    <row r="30" customFormat="false" ht="19.5" hidden="false" customHeight="true" outlineLevel="0" collapsed="false">
      <c r="B30" s="11" t="s">
        <v>79</v>
      </c>
      <c r="C30" s="24" t="n">
        <v>35000</v>
      </c>
      <c r="D30" s="24" t="n">
        <v>36000</v>
      </c>
      <c r="E30" s="24" t="n">
        <v>37000</v>
      </c>
      <c r="F30" s="24" t="n">
        <v>38000</v>
      </c>
      <c r="G30" s="24" t="n">
        <v>39000</v>
      </c>
      <c r="H30" s="26" t="s">
        <v>80</v>
      </c>
    </row>
    <row r="31" customFormat="false" ht="7.5" hidden="false" customHeight="true" outlineLevel="0" collapsed="false"/>
    <row r="32" customFormat="false" ht="19.5" hidden="false" customHeight="true" outlineLevel="0" collapsed="false">
      <c r="B32" s="21" t="s">
        <v>81</v>
      </c>
      <c r="C32" s="21"/>
      <c r="D32" s="21"/>
      <c r="E32" s="21"/>
      <c r="F32" s="21"/>
      <c r="G32" s="21"/>
      <c r="H32" s="21"/>
    </row>
    <row r="33" customFormat="false" ht="21.75" hidden="false" customHeight="true" outlineLevel="0" collapsed="false">
      <c r="B33" s="22" t="s">
        <v>39</v>
      </c>
      <c r="C33" s="23" t="s">
        <v>40</v>
      </c>
      <c r="D33" s="23" t="s">
        <v>41</v>
      </c>
      <c r="E33" s="23" t="s">
        <v>42</v>
      </c>
      <c r="F33" s="23" t="s">
        <v>43</v>
      </c>
      <c r="G33" s="23" t="s">
        <v>44</v>
      </c>
      <c r="H33" s="23" t="s">
        <v>45</v>
      </c>
    </row>
    <row r="34" customFormat="false" ht="19.5" hidden="false" customHeight="true" outlineLevel="0" collapsed="false">
      <c r="B34" s="11" t="s">
        <v>82</v>
      </c>
      <c r="C34" s="27" t="n">
        <v>0.03</v>
      </c>
      <c r="D34" s="27" t="n">
        <v>0.025</v>
      </c>
      <c r="E34" s="27" t="n">
        <v>0.02</v>
      </c>
      <c r="F34" s="27" t="n">
        <v>0.02</v>
      </c>
      <c r="G34" s="27" t="n">
        <v>0.015</v>
      </c>
      <c r="H34" s="26" t="s">
        <v>83</v>
      </c>
    </row>
    <row r="35" customFormat="false" ht="19.5" hidden="false" customHeight="true" outlineLevel="0" collapsed="false">
      <c r="B35" s="11" t="s">
        <v>84</v>
      </c>
      <c r="C35" s="28" t="n">
        <v>45</v>
      </c>
      <c r="D35" s="28" t="n">
        <v>42</v>
      </c>
      <c r="E35" s="28" t="n">
        <v>40</v>
      </c>
      <c r="F35" s="28" t="n">
        <v>38</v>
      </c>
      <c r="G35" s="28" t="n">
        <v>35</v>
      </c>
      <c r="H35" s="26" t="s">
        <v>85</v>
      </c>
    </row>
    <row r="36" customFormat="false" ht="19.5" hidden="false" customHeight="true" outlineLevel="0" collapsed="false">
      <c r="B36" s="17" t="s">
        <v>86</v>
      </c>
      <c r="C36" s="24" t="n">
        <v>8000000</v>
      </c>
      <c r="D36" s="24" t="n">
        <v>0</v>
      </c>
      <c r="E36" s="24" t="n">
        <v>0</v>
      </c>
      <c r="F36" s="24" t="n">
        <v>0</v>
      </c>
      <c r="G36" s="24" t="n">
        <v>0</v>
      </c>
      <c r="H36" s="25" t="s">
        <v>87</v>
      </c>
    </row>
    <row r="37" customFormat="false" ht="19.5" hidden="false" customHeight="true" outlineLevel="0" collapsed="false">
      <c r="B37" s="11" t="s">
        <v>88</v>
      </c>
      <c r="C37" s="27" t="n">
        <v>0.12</v>
      </c>
      <c r="D37" s="27" t="n">
        <v>0.12</v>
      </c>
      <c r="E37" s="27" t="n">
        <v>0.12</v>
      </c>
      <c r="F37" s="27" t="n">
        <v>0.12</v>
      </c>
      <c r="G37" s="27" t="n">
        <v>0.12</v>
      </c>
      <c r="H37" s="26" t="s">
        <v>89</v>
      </c>
    </row>
  </sheetData>
  <mergeCells count="7">
    <mergeCell ref="B1:H1"/>
    <mergeCell ref="B2:H2"/>
    <mergeCell ref="B4:H4"/>
    <mergeCell ref="B13:H13"/>
    <mergeCell ref="B19:H19"/>
    <mergeCell ref="B25:H25"/>
    <mergeCell ref="B32:H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D4ED8"/>
    <pageSetUpPr fitToPage="false"/>
  </sheetPr>
  <dimension ref="B1:I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28"/>
    <col collapsed="false" customWidth="true" hidden="false" outlineLevel="0" max="9" min="3" style="1" width="11"/>
    <col collapsed="false" customWidth="true" hidden="false" outlineLevel="0" max="10" min="10" style="1" width="4"/>
  </cols>
  <sheetData>
    <row r="1" customFormat="false" ht="30" hidden="false" customHeight="true" outlineLevel="0" collapsed="false">
      <c r="B1" s="2" t="s">
        <v>90</v>
      </c>
      <c r="C1" s="2"/>
      <c r="D1" s="2"/>
      <c r="E1" s="2"/>
      <c r="F1" s="2"/>
      <c r="G1" s="2"/>
      <c r="H1" s="2"/>
      <c r="I1" s="2"/>
    </row>
    <row r="2" customFormat="false" ht="15.75" hidden="false" customHeight="true" outlineLevel="0" collapsed="false">
      <c r="B2" s="3" t="s">
        <v>91</v>
      </c>
      <c r="C2" s="3"/>
      <c r="D2" s="3"/>
      <c r="E2" s="3"/>
      <c r="F2" s="3"/>
      <c r="G2" s="3"/>
      <c r="H2" s="3"/>
      <c r="I2" s="3"/>
    </row>
    <row r="3" customFormat="false" ht="7.5" hidden="false" customHeight="true" outlineLevel="0" collapsed="false"/>
    <row r="4" customFormat="false" ht="21.75" hidden="false" customHeight="true" outlineLevel="0" collapsed="false">
      <c r="B4" s="22" t="s">
        <v>92</v>
      </c>
      <c r="C4" s="23" t="s">
        <v>40</v>
      </c>
      <c r="D4" s="23" t="s">
        <v>41</v>
      </c>
      <c r="E4" s="23" t="s">
        <v>42</v>
      </c>
      <c r="F4" s="23" t="s">
        <v>43</v>
      </c>
      <c r="G4" s="23" t="s">
        <v>44</v>
      </c>
    </row>
    <row r="5" customFormat="false" ht="24" hidden="false" customHeight="true" outlineLevel="0" collapsed="false">
      <c r="B5" s="29" t="s">
        <v>93</v>
      </c>
      <c r="C5" s="30" t="n">
        <f aca="false">'⚙️ Assumptions'!C6</f>
        <v>15000000</v>
      </c>
      <c r="D5" s="30" t="n">
        <f aca="false">'⚙️ Assumptions'!D6</f>
        <v>21000000</v>
      </c>
      <c r="E5" s="30" t="n">
        <f aca="false">'⚙️ Assumptions'!E6</f>
        <v>29400000</v>
      </c>
      <c r="F5" s="30" t="n">
        <f aca="false">'⚙️ Assumptions'!F6</f>
        <v>40000000</v>
      </c>
      <c r="G5" s="30" t="n">
        <f aca="false">'⚙️ Assumptions'!G6</f>
        <v>52000000</v>
      </c>
    </row>
    <row r="6" customFormat="false" ht="24" hidden="false" customHeight="true" outlineLevel="0" collapsed="false">
      <c r="B6" s="18" t="s">
        <v>94</v>
      </c>
      <c r="C6" s="31" t="n">
        <f aca="false">'⚙️ Assumptions'!C7</f>
        <v>3500000</v>
      </c>
      <c r="D6" s="31" t="n">
        <f aca="false">'⚙️ Assumptions'!D7</f>
        <v>5000000</v>
      </c>
      <c r="E6" s="31" t="n">
        <f aca="false">'⚙️ Assumptions'!E7</f>
        <v>6500000</v>
      </c>
      <c r="F6" s="31" t="n">
        <f aca="false">'⚙️ Assumptions'!F7</f>
        <v>8000000</v>
      </c>
      <c r="G6" s="31" t="n">
        <f aca="false">'⚙️ Assumptions'!G7</f>
        <v>9500000</v>
      </c>
    </row>
    <row r="7" customFormat="false" ht="24" hidden="false" customHeight="true" outlineLevel="0" collapsed="false">
      <c r="B7" s="18" t="s">
        <v>95</v>
      </c>
      <c r="C7" s="31" t="n">
        <f aca="false">'⚙️ Assumptions'!C8</f>
        <v>1200000</v>
      </c>
      <c r="D7" s="31" t="n">
        <f aca="false">'⚙️ Assumptions'!D8</f>
        <v>1800000</v>
      </c>
      <c r="E7" s="31" t="n">
        <f aca="false">'⚙️ Assumptions'!E8</f>
        <v>2500000</v>
      </c>
      <c r="F7" s="31" t="n">
        <f aca="false">'⚙️ Assumptions'!F8</f>
        <v>3200000</v>
      </c>
      <c r="G7" s="31" t="n">
        <f aca="false">'⚙️ Assumptions'!G8</f>
        <v>4000000</v>
      </c>
    </row>
    <row r="8" customFormat="false" ht="24" hidden="false" customHeight="true" outlineLevel="0" collapsed="false">
      <c r="B8" s="32" t="s">
        <v>96</v>
      </c>
      <c r="C8" s="33" t="n">
        <f aca="false">'⚙️ Assumptions'!C9</f>
        <v>-400000</v>
      </c>
      <c r="D8" s="33" t="n">
        <f aca="false">'⚙️ Assumptions'!D9</f>
        <v>-550000</v>
      </c>
      <c r="E8" s="33" t="n">
        <f aca="false">'⚙️ Assumptions'!E9</f>
        <v>-700000</v>
      </c>
      <c r="F8" s="33" t="n">
        <f aca="false">'⚙️ Assumptions'!F9</f>
        <v>-900000</v>
      </c>
      <c r="G8" s="33" t="n">
        <f aca="false">'⚙️ Assumptions'!G9</f>
        <v>-1100000</v>
      </c>
    </row>
    <row r="9" customFormat="false" ht="24" hidden="false" customHeight="true" outlineLevel="0" collapsed="false">
      <c r="B9" s="32" t="s">
        <v>97</v>
      </c>
      <c r="C9" s="33" t="n">
        <f aca="false">'⚙️ Assumptions'!C10</f>
        <v>-300000</v>
      </c>
      <c r="D9" s="33" t="n">
        <f aca="false">'⚙️ Assumptions'!D10</f>
        <v>-450000</v>
      </c>
      <c r="E9" s="33" t="n">
        <f aca="false">'⚙️ Assumptions'!E10</f>
        <v>-600000</v>
      </c>
      <c r="F9" s="33" t="n">
        <f aca="false">'⚙️ Assumptions'!F10</f>
        <v>-800000</v>
      </c>
      <c r="G9" s="33" t="n">
        <f aca="false">'⚙️ Assumptions'!G10</f>
        <v>-1000000</v>
      </c>
    </row>
    <row r="10" customFormat="false" ht="27.75" hidden="false" customHeight="true" outlineLevel="0" collapsed="false">
      <c r="B10" s="22" t="s">
        <v>98</v>
      </c>
      <c r="C10" s="34" t="n">
        <f aca="false">C5+C6+C7+C8+C9</f>
        <v>19000000</v>
      </c>
      <c r="D10" s="34" t="n">
        <f aca="false">D5+D6+D7+D8+D9</f>
        <v>26800000</v>
      </c>
      <c r="E10" s="34" t="n">
        <f aca="false">E5+E6+E7+E8+E9</f>
        <v>37100000</v>
      </c>
      <c r="F10" s="34" t="n">
        <f aca="false">F5+F6+F7+F8+F9</f>
        <v>49500000</v>
      </c>
      <c r="G10" s="34" t="n">
        <f aca="false">G5+G6+G7+G8+G9</f>
        <v>63400000</v>
      </c>
    </row>
    <row r="11" customFormat="false" ht="7.5" hidden="false" customHeight="true" outlineLevel="0" collapsed="false"/>
    <row r="12" customFormat="false" ht="19.5" hidden="false" customHeight="true" outlineLevel="0" collapsed="false">
      <c r="B12" s="21" t="s">
        <v>99</v>
      </c>
      <c r="C12" s="21"/>
      <c r="D12" s="21"/>
      <c r="E12" s="21"/>
      <c r="F12" s="21"/>
      <c r="G12" s="21"/>
      <c r="H12" s="21"/>
      <c r="I12" s="21"/>
    </row>
    <row r="13" customFormat="false" ht="19.5" hidden="false" customHeight="true" outlineLevel="0" collapsed="false">
      <c r="B13" s="22" t="s">
        <v>100</v>
      </c>
      <c r="C13" s="23" t="s">
        <v>40</v>
      </c>
      <c r="D13" s="23" t="s">
        <v>41</v>
      </c>
      <c r="E13" s="23" t="s">
        <v>42</v>
      </c>
      <c r="F13" s="23" t="s">
        <v>43</v>
      </c>
      <c r="G13" s="23" t="s">
        <v>44</v>
      </c>
    </row>
    <row r="14" customFormat="false" ht="21.75" hidden="false" customHeight="true" outlineLevel="0" collapsed="false">
      <c r="B14" s="29" t="s">
        <v>101</v>
      </c>
      <c r="C14" s="35" t="n">
        <f aca="false">IFERROR((C10-C5)/C5,0)</f>
        <v>0.266666666666667</v>
      </c>
      <c r="D14" s="35" t="n">
        <f aca="false">IFERROR((D10-D5)/D5,0)</f>
        <v>0.276190476190476</v>
      </c>
      <c r="E14" s="35" t="n">
        <f aca="false">IFERROR((E10-E5)/E5,0)</f>
        <v>0.261904761904762</v>
      </c>
      <c r="F14" s="35" t="n">
        <f aca="false">IFERROR((F10-F5)/F5,0)</f>
        <v>0.2375</v>
      </c>
      <c r="G14" s="35" t="n">
        <f aca="false">IFERROR((G10-G5)/G5,0)</f>
        <v>0.219230769230769</v>
      </c>
    </row>
    <row r="15" customFormat="false" ht="21.75" hidden="false" customHeight="true" outlineLevel="0" collapsed="false">
      <c r="B15" s="18" t="s">
        <v>102</v>
      </c>
      <c r="C15" s="36" t="n">
        <f aca="false">IFERROR((C5+C7+C8+C9)/C5,0)</f>
        <v>1.03333333333333</v>
      </c>
      <c r="D15" s="36" t="n">
        <f aca="false">IFERROR((D5+D7+D8+D9)/D5,0)</f>
        <v>1.03809523809524</v>
      </c>
      <c r="E15" s="36" t="n">
        <f aca="false">IFERROR((E5+E7+E8+E9)/E5,0)</f>
        <v>1.04081632653061</v>
      </c>
      <c r="F15" s="36" t="n">
        <f aca="false">IFERROR((F5+F7+F8+F9)/F5,0)</f>
        <v>1.0375</v>
      </c>
      <c r="G15" s="36" t="n">
        <f aca="false">IFERROR((G5+G7+G8+G9)/G5,0)</f>
        <v>1.03653846153846</v>
      </c>
    </row>
    <row r="16" customFormat="false" ht="21.75" hidden="false" customHeight="true" outlineLevel="0" collapsed="false">
      <c r="B16" s="29" t="s">
        <v>103</v>
      </c>
      <c r="C16" s="35" t="n">
        <f aca="false">IFERROR((C5+C9)/C5,0)</f>
        <v>0.98</v>
      </c>
      <c r="D16" s="35" t="n">
        <f aca="false">IFERROR((D5+D9)/D5,0)</f>
        <v>0.978571428571429</v>
      </c>
      <c r="E16" s="35" t="n">
        <f aca="false">IFERROR((E5+E9)/E5,0)</f>
        <v>0.979591836734694</v>
      </c>
      <c r="F16" s="35" t="n">
        <f aca="false">IFERROR((F5+F9)/F5,0)</f>
        <v>0.98</v>
      </c>
      <c r="G16" s="35" t="n">
        <f aca="false">IFERROR((G5+G9)/G5,0)</f>
        <v>0.980769230769231</v>
      </c>
    </row>
    <row r="17" customFormat="false" ht="21.75" hidden="false" customHeight="true" outlineLevel="0" collapsed="false">
      <c r="B17" s="37" t="s">
        <v>104</v>
      </c>
      <c r="C17" s="38" t="n">
        <f aca="false">C10/12</f>
        <v>1583333.33333333</v>
      </c>
      <c r="D17" s="38" t="n">
        <f aca="false">D10/12</f>
        <v>2233333.33333333</v>
      </c>
      <c r="E17" s="38" t="n">
        <f aca="false">E10/12</f>
        <v>3091666.66666667</v>
      </c>
      <c r="F17" s="38" t="n">
        <f aca="false">F10/12</f>
        <v>4125000</v>
      </c>
      <c r="G17" s="38" t="n">
        <f aca="false">G10/12</f>
        <v>5283333.33333333</v>
      </c>
    </row>
  </sheetData>
  <mergeCells count="3">
    <mergeCell ref="B1:I1"/>
    <mergeCell ref="B2:I2"/>
    <mergeCell ref="B12:I1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6534"/>
    <pageSetUpPr fitToPage="false"/>
  </sheetPr>
  <dimension ref="B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28"/>
    <col collapsed="false" customWidth="true" hidden="false" outlineLevel="0" max="9" min="3" style="1" width="11"/>
    <col collapsed="false" customWidth="true" hidden="false" outlineLevel="0" max="10" min="10" style="1" width="4"/>
  </cols>
  <sheetData>
    <row r="1" customFormat="false" ht="30" hidden="false" customHeight="true" outlineLevel="0" collapsed="false">
      <c r="B1" s="2" t="s">
        <v>105</v>
      </c>
      <c r="C1" s="2"/>
      <c r="D1" s="2"/>
      <c r="E1" s="2"/>
      <c r="F1" s="2"/>
      <c r="G1" s="2"/>
      <c r="H1" s="2"/>
      <c r="I1" s="2"/>
    </row>
    <row r="2" customFormat="false" ht="15.75" hidden="false" customHeight="true" outlineLevel="0" collapsed="false">
      <c r="B2" s="3" t="s">
        <v>106</v>
      </c>
      <c r="C2" s="3"/>
      <c r="D2" s="3"/>
      <c r="E2" s="3"/>
      <c r="F2" s="3"/>
      <c r="G2" s="3"/>
      <c r="H2" s="3"/>
      <c r="I2" s="3"/>
    </row>
    <row r="3" customFormat="false" ht="7.5" hidden="false" customHeight="true" outlineLevel="0" collapsed="false"/>
    <row r="4" customFormat="false" ht="21.75" hidden="false" customHeight="true" outlineLevel="0" collapsed="false">
      <c r="B4" s="22" t="s">
        <v>107</v>
      </c>
      <c r="C4" s="23" t="s">
        <v>40</v>
      </c>
      <c r="D4" s="23" t="s">
        <v>41</v>
      </c>
      <c r="E4" s="23" t="s">
        <v>42</v>
      </c>
      <c r="F4" s="23" t="s">
        <v>43</v>
      </c>
      <c r="G4" s="23" t="s">
        <v>44</v>
      </c>
    </row>
    <row r="5" customFormat="false" ht="19.5" hidden="false" customHeight="true" outlineLevel="0" collapsed="false">
      <c r="B5" s="21" t="s">
        <v>108</v>
      </c>
      <c r="C5" s="21"/>
      <c r="D5" s="21"/>
      <c r="E5" s="21"/>
      <c r="F5" s="21"/>
      <c r="G5" s="21"/>
      <c r="H5" s="21"/>
      <c r="I5" s="21"/>
    </row>
    <row r="6" customFormat="false" ht="19.5" hidden="false" customHeight="true" outlineLevel="0" collapsed="false">
      <c r="B6" s="11" t="s">
        <v>109</v>
      </c>
      <c r="C6" s="39" t="n">
        <f aca="false">'📊 ARR Bridge'!C10</f>
        <v>19000000</v>
      </c>
      <c r="D6" s="39" t="n">
        <f aca="false">'📊 ARR Bridge'!D10</f>
        <v>26800000</v>
      </c>
      <c r="E6" s="39" t="n">
        <f aca="false">'📊 ARR Bridge'!E10</f>
        <v>37100000</v>
      </c>
      <c r="F6" s="39" t="n">
        <f aca="false">'📊 ARR Bridge'!F10</f>
        <v>49500000</v>
      </c>
      <c r="G6" s="39" t="n">
        <f aca="false">'📊 ARR Bridge'!G10</f>
        <v>63400000</v>
      </c>
    </row>
    <row r="7" customFormat="false" ht="19.5" hidden="false" customHeight="true" outlineLevel="0" collapsed="false">
      <c r="B7" s="11" t="s">
        <v>110</v>
      </c>
      <c r="C7" s="39" t="n">
        <f aca="false">'⚙️ Assumptions'!C16</f>
        <v>600000</v>
      </c>
      <c r="D7" s="39" t="n">
        <f aca="false">'⚙️ Assumptions'!D16</f>
        <v>800000</v>
      </c>
      <c r="E7" s="39" t="n">
        <f aca="false">'⚙️ Assumptions'!E16</f>
        <v>1000000</v>
      </c>
      <c r="F7" s="39" t="n">
        <f aca="false">'⚙️ Assumptions'!F16</f>
        <v>1200000</v>
      </c>
      <c r="G7" s="39" t="n">
        <f aca="false">'⚙️ Assumptions'!G16</f>
        <v>1500000</v>
      </c>
    </row>
    <row r="8" customFormat="false" ht="21.75" hidden="false" customHeight="true" outlineLevel="0" collapsed="false">
      <c r="B8" s="40" t="s">
        <v>111</v>
      </c>
      <c r="C8" s="41" t="n">
        <f aca="false">C6+C7</f>
        <v>19600000</v>
      </c>
      <c r="D8" s="41" t="n">
        <f aca="false">D6+D7</f>
        <v>27600000</v>
      </c>
      <c r="E8" s="41" t="n">
        <f aca="false">E6+E7</f>
        <v>38100000</v>
      </c>
      <c r="F8" s="41" t="n">
        <f aca="false">F6+F7</f>
        <v>50700000</v>
      </c>
      <c r="G8" s="41" t="n">
        <f aca="false">G6+G7</f>
        <v>64900000</v>
      </c>
    </row>
    <row r="9" customFormat="false" ht="19.5" hidden="false" customHeight="true" outlineLevel="0" collapsed="false">
      <c r="B9" s="21" t="s">
        <v>112</v>
      </c>
      <c r="C9" s="21"/>
      <c r="D9" s="21"/>
      <c r="E9" s="21"/>
      <c r="F9" s="21"/>
      <c r="G9" s="21"/>
      <c r="H9" s="21"/>
      <c r="I9" s="21"/>
    </row>
    <row r="10" customFormat="false" ht="19.5" hidden="false" customHeight="true" outlineLevel="0" collapsed="false">
      <c r="B10" s="42" t="s">
        <v>113</v>
      </c>
      <c r="C10" s="43" t="n">
        <f aca="false">-C6*(1-'⚙️ Assumptions'!C15)</f>
        <v>-5320000</v>
      </c>
      <c r="D10" s="43" t="n">
        <f aca="false">-D6*(1-'⚙️ Assumptions'!D15)</f>
        <v>-7236000</v>
      </c>
      <c r="E10" s="43" t="n">
        <f aca="false">-E6*(1-'⚙️ Assumptions'!E15)</f>
        <v>-9646000</v>
      </c>
      <c r="F10" s="43" t="n">
        <f aca="false">-F6*(1-'⚙️ Assumptions'!F15)</f>
        <v>-12375000</v>
      </c>
      <c r="G10" s="43" t="n">
        <f aca="false">-G6*(1-'⚙️ Assumptions'!G15)</f>
        <v>-15216000</v>
      </c>
    </row>
    <row r="11" customFormat="false" ht="19.5" hidden="false" customHeight="true" outlineLevel="0" collapsed="false">
      <c r="B11" s="42" t="s">
        <v>114</v>
      </c>
      <c r="C11" s="43" t="n">
        <f aca="false">-C7*(1-'⚙️ Assumptions'!C17)</f>
        <v>-510000</v>
      </c>
      <c r="D11" s="43" t="n">
        <f aca="false">-D7*(1-'⚙️ Assumptions'!D17)</f>
        <v>-656000</v>
      </c>
      <c r="E11" s="43" t="n">
        <f aca="false">-E7*(1-'⚙️ Assumptions'!E17)</f>
        <v>-800000</v>
      </c>
      <c r="F11" s="43" t="n">
        <f aca="false">-F7*(1-'⚙️ Assumptions'!F17)</f>
        <v>-936000</v>
      </c>
      <c r="G11" s="43" t="n">
        <f aca="false">-G7*(1-'⚙️ Assumptions'!G17)</f>
        <v>-1125000</v>
      </c>
    </row>
    <row r="12" customFormat="false" ht="21.75" hidden="false" customHeight="true" outlineLevel="0" collapsed="false">
      <c r="B12" s="18" t="s">
        <v>115</v>
      </c>
      <c r="C12" s="31" t="n">
        <f aca="false">C8+C10+C11</f>
        <v>13770000</v>
      </c>
      <c r="D12" s="31" t="n">
        <f aca="false">D8+D10+D11</f>
        <v>19708000</v>
      </c>
      <c r="E12" s="31" t="n">
        <f aca="false">E8+E10+E11</f>
        <v>27654000</v>
      </c>
      <c r="F12" s="31" t="n">
        <f aca="false">F8+F10+F11</f>
        <v>37389000</v>
      </c>
      <c r="G12" s="31" t="n">
        <f aca="false">G8+G10+G11</f>
        <v>48559000</v>
      </c>
    </row>
    <row r="13" customFormat="false" ht="19.5" hidden="false" customHeight="true" outlineLevel="0" collapsed="false">
      <c r="B13" s="44" t="s">
        <v>59</v>
      </c>
      <c r="C13" s="45" t="n">
        <f aca="false">IFERROR(C12/C8,0)</f>
        <v>0.702551020408163</v>
      </c>
      <c r="D13" s="45" t="n">
        <f aca="false">IFERROR(D12/D8,0)</f>
        <v>0.714057971014493</v>
      </c>
      <c r="E13" s="45" t="n">
        <f aca="false">IFERROR(E12/E8,0)</f>
        <v>0.725826771653543</v>
      </c>
      <c r="F13" s="45" t="n">
        <f aca="false">IFERROR(F12/F8,0)</f>
        <v>0.737455621301775</v>
      </c>
      <c r="G13" s="45" t="n">
        <f aca="false">IFERROR(G12/G8,0)</f>
        <v>0.748212634822804</v>
      </c>
    </row>
    <row r="14" customFormat="false" ht="19.5" hidden="false" customHeight="true" outlineLevel="0" collapsed="false">
      <c r="B14" s="21" t="s">
        <v>116</v>
      </c>
      <c r="C14" s="21"/>
      <c r="D14" s="21"/>
      <c r="E14" s="21"/>
      <c r="F14" s="21"/>
      <c r="G14" s="21"/>
      <c r="H14" s="21"/>
      <c r="I14" s="21"/>
    </row>
    <row r="15" customFormat="false" ht="19.5" hidden="false" customHeight="true" outlineLevel="0" collapsed="false">
      <c r="B15" s="42" t="s">
        <v>117</v>
      </c>
      <c r="C15" s="43" t="n">
        <f aca="false">-C8*'⚙️ Assumptions'!C21</f>
        <v>-7448000</v>
      </c>
      <c r="D15" s="43" t="n">
        <f aca="false">-D8*'⚙️ Assumptions'!D21</f>
        <v>-9660000</v>
      </c>
      <c r="E15" s="43" t="n">
        <f aca="false">-E8*'⚙️ Assumptions'!E21</f>
        <v>-12192000</v>
      </c>
      <c r="F15" s="43" t="n">
        <f aca="false">-F8*'⚙️ Assumptions'!F21</f>
        <v>-15210000</v>
      </c>
      <c r="G15" s="43" t="n">
        <f aca="false">-G8*'⚙️ Assumptions'!G21</f>
        <v>-18172000</v>
      </c>
    </row>
    <row r="16" customFormat="false" ht="19.5" hidden="false" customHeight="true" outlineLevel="0" collapsed="false">
      <c r="B16" s="42" t="s">
        <v>118</v>
      </c>
      <c r="C16" s="43" t="n">
        <f aca="false">-C8*'⚙️ Assumptions'!C22</f>
        <v>-4312000</v>
      </c>
      <c r="D16" s="43" t="n">
        <f aca="false">-D8*'⚙️ Assumptions'!D22</f>
        <v>-5796000</v>
      </c>
      <c r="E16" s="43" t="n">
        <f aca="false">-E8*'⚙️ Assumptions'!E22</f>
        <v>-7620000</v>
      </c>
      <c r="F16" s="43" t="n">
        <f aca="false">-F8*'⚙️ Assumptions'!F22</f>
        <v>-9633000</v>
      </c>
      <c r="G16" s="43" t="n">
        <f aca="false">-G8*'⚙️ Assumptions'!G22</f>
        <v>-11682000</v>
      </c>
    </row>
    <row r="17" customFormat="false" ht="19.5" hidden="false" customHeight="true" outlineLevel="0" collapsed="false">
      <c r="B17" s="42" t="s">
        <v>119</v>
      </c>
      <c r="C17" s="43" t="n">
        <f aca="false">-C8*'⚙️ Assumptions'!C23</f>
        <v>-2352000</v>
      </c>
      <c r="D17" s="43" t="n">
        <f aca="false">-D8*'⚙️ Assumptions'!D23</f>
        <v>-3036000</v>
      </c>
      <c r="E17" s="43" t="n">
        <f aca="false">-E8*'⚙️ Assumptions'!E23</f>
        <v>-3810000</v>
      </c>
      <c r="F17" s="43" t="n">
        <f aca="false">-F8*'⚙️ Assumptions'!F23</f>
        <v>-4563000</v>
      </c>
      <c r="G17" s="43" t="n">
        <f aca="false">-G8*'⚙️ Assumptions'!G23</f>
        <v>-5841000</v>
      </c>
    </row>
    <row r="18" customFormat="false" ht="21.75" hidden="false" customHeight="true" outlineLevel="0" collapsed="false">
      <c r="B18" s="32" t="s">
        <v>120</v>
      </c>
      <c r="C18" s="33" t="n">
        <f aca="false">C15+C16+C17</f>
        <v>-14112000</v>
      </c>
      <c r="D18" s="33" t="n">
        <f aca="false">D15+D16+D17</f>
        <v>-18492000</v>
      </c>
      <c r="E18" s="33" t="n">
        <f aca="false">E15+E16+E17</f>
        <v>-23622000</v>
      </c>
      <c r="F18" s="33" t="n">
        <f aca="false">F15+F16+F17</f>
        <v>-29406000</v>
      </c>
      <c r="G18" s="33" t="n">
        <f aca="false">G15+G16+G17</f>
        <v>-35695000</v>
      </c>
    </row>
    <row r="19" customFormat="false" ht="21.75" hidden="false" customHeight="true" outlineLevel="0" collapsed="false">
      <c r="B19" s="40" t="s">
        <v>121</v>
      </c>
      <c r="C19" s="41" t="n">
        <f aca="false">C12+C18</f>
        <v>-342000</v>
      </c>
      <c r="D19" s="41" t="n">
        <f aca="false">D12+D18</f>
        <v>1216000</v>
      </c>
      <c r="E19" s="41" t="n">
        <f aca="false">E12+E18</f>
        <v>4032000</v>
      </c>
      <c r="F19" s="41" t="n">
        <f aca="false">F12+F18</f>
        <v>7983000</v>
      </c>
      <c r="G19" s="41" t="n">
        <f aca="false">G12+G18</f>
        <v>12864000</v>
      </c>
    </row>
    <row r="20" customFormat="false" ht="19.5" hidden="false" customHeight="true" outlineLevel="0" collapsed="false">
      <c r="B20" s="46" t="s">
        <v>122</v>
      </c>
      <c r="C20" s="47" t="n">
        <f aca="false">IFERROR(C19/C8,0)</f>
        <v>-0.0174489795918367</v>
      </c>
      <c r="D20" s="47" t="n">
        <f aca="false">IFERROR(D19/D8,0)</f>
        <v>0.0440579710144928</v>
      </c>
      <c r="E20" s="47" t="n">
        <f aca="false">IFERROR(E19/E8,0)</f>
        <v>0.105826771653543</v>
      </c>
      <c r="F20" s="47" t="n">
        <f aca="false">IFERROR(F19/F8,0)</f>
        <v>0.157455621301775</v>
      </c>
      <c r="G20" s="47" t="n">
        <f aca="false">IFERROR(G19/G8,0)</f>
        <v>0.198212634822804</v>
      </c>
    </row>
    <row r="21" customFormat="false" ht="19.5" hidden="false" customHeight="true" outlineLevel="0" collapsed="false">
      <c r="B21" s="48" t="s">
        <v>123</v>
      </c>
      <c r="C21" s="49" t="n">
        <f aca="false">-C8*0.01</f>
        <v>-196000</v>
      </c>
      <c r="D21" s="49" t="n">
        <f aca="false">-D8*0.01</f>
        <v>-276000</v>
      </c>
      <c r="E21" s="49" t="n">
        <f aca="false">-E8*0.01</f>
        <v>-381000</v>
      </c>
      <c r="F21" s="49" t="n">
        <f aca="false">-F8*0.01</f>
        <v>-507000</v>
      </c>
      <c r="G21" s="49" t="n">
        <f aca="false">-G8*0.01</f>
        <v>-649000</v>
      </c>
    </row>
    <row r="22" customFormat="false" ht="21.75" hidden="false" customHeight="true" outlineLevel="0" collapsed="false">
      <c r="B22" s="29" t="s">
        <v>124</v>
      </c>
      <c r="C22" s="30" t="n">
        <f aca="false">C19+C21</f>
        <v>-538000</v>
      </c>
      <c r="D22" s="30" t="n">
        <f aca="false">D19+D21</f>
        <v>940000</v>
      </c>
      <c r="E22" s="30" t="n">
        <f aca="false">E19+E21</f>
        <v>3651000</v>
      </c>
      <c r="F22" s="30" t="n">
        <f aca="false">F19+F21</f>
        <v>7476000</v>
      </c>
      <c r="G22" s="30" t="n">
        <f aca="false">G19+G21</f>
        <v>12215000</v>
      </c>
    </row>
    <row r="23" customFormat="false" ht="19.5" hidden="false" customHeight="true" outlineLevel="0" collapsed="false">
      <c r="B23" s="50" t="s">
        <v>125</v>
      </c>
      <c r="C23" s="51" t="n">
        <f aca="false">-MAX(0,C22*0.25)</f>
        <v>-0</v>
      </c>
      <c r="D23" s="51" t="n">
        <f aca="false">-MAX(0,D22*0.25)</f>
        <v>-235000</v>
      </c>
      <c r="E23" s="51" t="n">
        <f aca="false">-MAX(0,E22*0.25)</f>
        <v>-912750</v>
      </c>
      <c r="F23" s="51" t="n">
        <f aca="false">-MAX(0,F22*0.25)</f>
        <v>-1869000</v>
      </c>
      <c r="G23" s="51" t="n">
        <f aca="false">-MAX(0,G22*0.25)</f>
        <v>-3053750</v>
      </c>
    </row>
    <row r="24" customFormat="false" ht="21.75" hidden="false" customHeight="true" outlineLevel="0" collapsed="false">
      <c r="B24" s="18" t="s">
        <v>126</v>
      </c>
      <c r="C24" s="31" t="n">
        <f aca="false">C22+C23</f>
        <v>-538000</v>
      </c>
      <c r="D24" s="31" t="n">
        <f aca="false">D22+D23</f>
        <v>705000</v>
      </c>
      <c r="E24" s="31" t="n">
        <f aca="false">E22+E23</f>
        <v>2738250</v>
      </c>
      <c r="F24" s="31" t="n">
        <f aca="false">F22+F23</f>
        <v>5607000</v>
      </c>
      <c r="G24" s="31" t="n">
        <f aca="false">G22+G23</f>
        <v>9161250</v>
      </c>
    </row>
  </sheetData>
  <mergeCells count="5">
    <mergeCell ref="B1:I1"/>
    <mergeCell ref="B2:I2"/>
    <mergeCell ref="B5:I5"/>
    <mergeCell ref="B9:I9"/>
    <mergeCell ref="B14:I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766E"/>
    <pageSetUpPr fitToPage="false"/>
  </sheetPr>
  <dimension ref="B1:I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30"/>
    <col collapsed="false" customWidth="true" hidden="false" outlineLevel="0" max="9" min="3" style="1" width="11"/>
    <col collapsed="false" customWidth="true" hidden="false" outlineLevel="0" max="10" min="10" style="1" width="4"/>
  </cols>
  <sheetData>
    <row r="1" customFormat="false" ht="30" hidden="false" customHeight="true" outlineLevel="0" collapsed="false">
      <c r="B1" s="2" t="s">
        <v>127</v>
      </c>
      <c r="C1" s="2"/>
      <c r="D1" s="2"/>
      <c r="E1" s="2"/>
      <c r="F1" s="2"/>
      <c r="G1" s="2"/>
      <c r="H1" s="2"/>
      <c r="I1" s="2"/>
    </row>
    <row r="2" customFormat="false" ht="15.75" hidden="false" customHeight="true" outlineLevel="0" collapsed="false">
      <c r="B2" s="3" t="s">
        <v>128</v>
      </c>
      <c r="C2" s="3"/>
      <c r="D2" s="3"/>
      <c r="E2" s="3"/>
      <c r="F2" s="3"/>
      <c r="G2" s="3"/>
      <c r="H2" s="3"/>
      <c r="I2" s="3"/>
    </row>
    <row r="3" customFormat="false" ht="7.5" hidden="false" customHeight="true" outlineLevel="0" collapsed="false"/>
    <row r="4" customFormat="false" ht="21.75" hidden="false" customHeight="true" outlineLevel="0" collapsed="false">
      <c r="B4" s="22" t="s">
        <v>129</v>
      </c>
      <c r="C4" s="23" t="s">
        <v>40</v>
      </c>
      <c r="D4" s="23" t="s">
        <v>41</v>
      </c>
      <c r="E4" s="23" t="s">
        <v>42</v>
      </c>
      <c r="F4" s="23" t="s">
        <v>43</v>
      </c>
      <c r="G4" s="23" t="s">
        <v>44</v>
      </c>
    </row>
    <row r="5" customFormat="false" ht="19.5" hidden="false" customHeight="true" outlineLevel="0" collapsed="false">
      <c r="B5" s="21" t="s">
        <v>130</v>
      </c>
      <c r="C5" s="21"/>
      <c r="D5" s="21"/>
      <c r="E5" s="21"/>
      <c r="F5" s="21"/>
      <c r="G5" s="21"/>
      <c r="H5" s="21"/>
      <c r="I5" s="21"/>
    </row>
    <row r="6" customFormat="false" ht="19.5" hidden="false" customHeight="true" outlineLevel="0" collapsed="false">
      <c r="B6" s="11" t="s">
        <v>131</v>
      </c>
      <c r="C6" s="39" t="n">
        <f aca="false">'📄 Income Statement'!C24</f>
        <v>-538000</v>
      </c>
      <c r="D6" s="39" t="n">
        <f aca="false">'📄 Income Statement'!D24</f>
        <v>705000</v>
      </c>
      <c r="E6" s="39" t="n">
        <f aca="false">'📄 Income Statement'!E24</f>
        <v>2738250</v>
      </c>
      <c r="F6" s="39" t="n">
        <f aca="false">'📄 Income Statement'!F24</f>
        <v>5607000</v>
      </c>
      <c r="G6" s="39" t="n">
        <f aca="false">'📄 Income Statement'!G24</f>
        <v>9161250</v>
      </c>
    </row>
    <row r="7" customFormat="false" ht="19.5" hidden="false" customHeight="true" outlineLevel="0" collapsed="false">
      <c r="B7" s="11" t="s">
        <v>132</v>
      </c>
      <c r="C7" s="39" t="n">
        <f aca="false">-'📄 Income Statement'!C21</f>
        <v>196000</v>
      </c>
      <c r="D7" s="39" t="n">
        <f aca="false">-'📄 Income Statement'!D21</f>
        <v>276000</v>
      </c>
      <c r="E7" s="39" t="n">
        <f aca="false">-'📄 Income Statement'!E21</f>
        <v>381000</v>
      </c>
      <c r="F7" s="39" t="n">
        <f aca="false">-'📄 Income Statement'!F21</f>
        <v>507000</v>
      </c>
      <c r="G7" s="39" t="n">
        <f aca="false">-'📄 Income Statement'!G21</f>
        <v>649000</v>
      </c>
    </row>
    <row r="8" customFormat="false" ht="19.5" hidden="false" customHeight="true" outlineLevel="0" collapsed="false">
      <c r="B8" s="19" t="s">
        <v>133</v>
      </c>
      <c r="C8" s="52" t="n">
        <f aca="false">'📊 ARR Bridge'!C10*'⚙️ Assumptions'!C11/12</f>
        <v>870833.333333333</v>
      </c>
      <c r="D8" s="52" t="n">
        <f aca="false">'📊 ARR Bridge'!D10*'⚙️ Assumptions'!D11/12</f>
        <v>1295333.33333333</v>
      </c>
      <c r="E8" s="52" t="n">
        <f aca="false">'📊 ARR Bridge'!E10*'⚙️ Assumptions'!E11/12</f>
        <v>1855000</v>
      </c>
      <c r="F8" s="52" t="n">
        <f aca="false">'📊 ARR Bridge'!F10*'⚙️ Assumptions'!F11/12</f>
        <v>2557500</v>
      </c>
      <c r="G8" s="52" t="n">
        <f aca="false">'📊 ARR Bridge'!G10*'⚙️ Assumptions'!G11/12</f>
        <v>3434166.66666667</v>
      </c>
    </row>
    <row r="9" customFormat="false" ht="19.5" hidden="false" customHeight="true" outlineLevel="0" collapsed="false">
      <c r="B9" s="11" t="s">
        <v>134</v>
      </c>
      <c r="C9" s="39" t="n">
        <f aca="false">-'📄 Income Statement'!C8*'⚙️ Assumptions'!C35/365*0.1</f>
        <v>-241643.835616438</v>
      </c>
      <c r="D9" s="39" t="n">
        <f aca="false">-'📄 Income Statement'!D8*'⚙️ Assumptions'!D35/365*0.1</f>
        <v>-317589.04109589</v>
      </c>
      <c r="E9" s="39" t="n">
        <f aca="false">-'📄 Income Statement'!E8*'⚙️ Assumptions'!E35/365*0.1</f>
        <v>-417534.246575343</v>
      </c>
      <c r="F9" s="39" t="n">
        <f aca="false">-'📄 Income Statement'!F8*'⚙️ Assumptions'!F35/365*0.1</f>
        <v>-527835.616438356</v>
      </c>
      <c r="G9" s="39" t="n">
        <f aca="false">-'📄 Income Statement'!G8*'⚙️ Assumptions'!G35/365*0.1</f>
        <v>-622328.767123288</v>
      </c>
    </row>
    <row r="10" customFormat="false" ht="25.5" hidden="false" customHeight="true" outlineLevel="0" collapsed="false">
      <c r="B10" s="22" t="s">
        <v>135</v>
      </c>
      <c r="C10" s="34" t="n">
        <f aca="false">SUM(C6:C9)</f>
        <v>287189.497716895</v>
      </c>
      <c r="D10" s="34" t="n">
        <f aca="false">SUM(D6:D9)</f>
        <v>1958744.29223744</v>
      </c>
      <c r="E10" s="34" t="n">
        <f aca="false">SUM(E6:E9)</f>
        <v>4556715.75342466</v>
      </c>
      <c r="F10" s="34" t="n">
        <f aca="false">SUM(F6:F9)</f>
        <v>8143664.38356164</v>
      </c>
      <c r="G10" s="34" t="n">
        <f aca="false">SUM(G6:G9)</f>
        <v>12622087.8995434</v>
      </c>
    </row>
    <row r="11" customFormat="false" ht="7.5" hidden="false" customHeight="true" outlineLevel="0" collapsed="false"/>
    <row r="12" customFormat="false" ht="19.5" hidden="false" customHeight="true" outlineLevel="0" collapsed="false">
      <c r="B12" s="21" t="s">
        <v>136</v>
      </c>
      <c r="C12" s="21"/>
      <c r="D12" s="21"/>
      <c r="E12" s="21"/>
      <c r="F12" s="21"/>
      <c r="G12" s="21"/>
      <c r="H12" s="21"/>
      <c r="I12" s="21"/>
    </row>
    <row r="13" customFormat="false" ht="19.5" hidden="false" customHeight="true" outlineLevel="0" collapsed="false">
      <c r="B13" s="42" t="s">
        <v>137</v>
      </c>
      <c r="C13" s="43" t="n">
        <f aca="false">-'📄 Income Statement'!C8*'⚙️ Assumptions'!C34</f>
        <v>-588000</v>
      </c>
      <c r="D13" s="43" t="n">
        <f aca="false">-'📄 Income Statement'!D8*'⚙️ Assumptions'!D34</f>
        <v>-690000</v>
      </c>
      <c r="E13" s="43" t="n">
        <f aca="false">-'📄 Income Statement'!E8*'⚙️ Assumptions'!E34</f>
        <v>-762000</v>
      </c>
      <c r="F13" s="43" t="n">
        <f aca="false">-'📄 Income Statement'!F8*'⚙️ Assumptions'!F34</f>
        <v>-1014000</v>
      </c>
      <c r="G13" s="43" t="n">
        <f aca="false">-'📄 Income Statement'!G8*'⚙️ Assumptions'!G34</f>
        <v>-973500</v>
      </c>
    </row>
    <row r="14" customFormat="false" ht="25.5" hidden="false" customHeight="true" outlineLevel="0" collapsed="false">
      <c r="B14" s="22" t="s">
        <v>138</v>
      </c>
      <c r="C14" s="34" t="n">
        <f aca="false">C13</f>
        <v>-588000</v>
      </c>
      <c r="D14" s="34" t="n">
        <f aca="false">D13</f>
        <v>-690000</v>
      </c>
      <c r="E14" s="34" t="n">
        <f aca="false">E13</f>
        <v>-762000</v>
      </c>
      <c r="F14" s="34" t="n">
        <f aca="false">F13</f>
        <v>-1014000</v>
      </c>
      <c r="G14" s="34" t="n">
        <f aca="false">G13</f>
        <v>-973500</v>
      </c>
    </row>
    <row r="15" customFormat="false" ht="7.5" hidden="false" customHeight="true" outlineLevel="0" collapsed="false"/>
    <row r="16" customFormat="false" ht="19.5" hidden="false" customHeight="true" outlineLevel="0" collapsed="false">
      <c r="B16" s="21" t="s">
        <v>139</v>
      </c>
      <c r="C16" s="21"/>
      <c r="D16" s="21"/>
      <c r="E16" s="21"/>
      <c r="F16" s="21"/>
      <c r="G16" s="21"/>
      <c r="H16" s="21"/>
      <c r="I16" s="21"/>
    </row>
    <row r="17" customFormat="false" ht="19.5" hidden="false" customHeight="true" outlineLevel="0" collapsed="false">
      <c r="B17" s="53" t="s">
        <v>140</v>
      </c>
      <c r="C17" s="24" t="n">
        <v>0</v>
      </c>
      <c r="D17" s="24" t="n">
        <v>0</v>
      </c>
      <c r="E17" s="24" t="n">
        <v>0</v>
      </c>
      <c r="F17" s="24" t="n">
        <v>0</v>
      </c>
      <c r="G17" s="24" t="n">
        <v>0</v>
      </c>
    </row>
    <row r="18" customFormat="false" ht="25.5" hidden="false" customHeight="true" outlineLevel="0" collapsed="false">
      <c r="B18" s="22" t="s">
        <v>141</v>
      </c>
      <c r="C18" s="34" t="n">
        <f aca="false">C17</f>
        <v>0</v>
      </c>
      <c r="D18" s="34" t="n">
        <f aca="false">D17</f>
        <v>0</v>
      </c>
      <c r="E18" s="34" t="n">
        <f aca="false">E17</f>
        <v>0</v>
      </c>
      <c r="F18" s="34" t="n">
        <f aca="false">F17</f>
        <v>0</v>
      </c>
      <c r="G18" s="34" t="n">
        <f aca="false">G17</f>
        <v>0</v>
      </c>
    </row>
    <row r="19" customFormat="false" ht="7.5" hidden="false" customHeight="true" outlineLevel="0" collapsed="false"/>
    <row r="20" customFormat="false" ht="19.5" hidden="false" customHeight="true" outlineLevel="0" collapsed="false">
      <c r="B20" s="21" t="s">
        <v>142</v>
      </c>
      <c r="C20" s="21"/>
      <c r="D20" s="21"/>
      <c r="E20" s="21"/>
      <c r="F20" s="21"/>
      <c r="G20" s="21"/>
      <c r="H20" s="21"/>
      <c r="I20" s="21"/>
    </row>
    <row r="21" customFormat="false" ht="21.75" hidden="false" customHeight="true" outlineLevel="0" collapsed="false">
      <c r="B21" s="29" t="s">
        <v>143</v>
      </c>
      <c r="C21" s="30" t="n">
        <f aca="false">C10+C14+C18</f>
        <v>-300810.502283105</v>
      </c>
      <c r="D21" s="30" t="n">
        <f aca="false">D10+D14+D18</f>
        <v>1268744.29223744</v>
      </c>
      <c r="E21" s="30" t="n">
        <f aca="false">E10+E14+E18</f>
        <v>3794715.75342466</v>
      </c>
      <c r="F21" s="30" t="n">
        <f aca="false">F10+F14+F18</f>
        <v>7129664.38356164</v>
      </c>
      <c r="G21" s="30" t="n">
        <f aca="false">G10+G14+G18</f>
        <v>11648587.8995434</v>
      </c>
    </row>
    <row r="22" customFormat="false" ht="19.5" hidden="false" customHeight="true" outlineLevel="0" collapsed="false">
      <c r="B22" s="48" t="s">
        <v>144</v>
      </c>
      <c r="C22" s="54" t="n">
        <f aca="false">'⚙️ Assumptions'!C36</f>
        <v>8000000</v>
      </c>
      <c r="D22" s="54" t="n">
        <f aca="false">C23</f>
        <v>7699189.4977169</v>
      </c>
      <c r="E22" s="54" t="n">
        <f aca="false">D23</f>
        <v>8967933.78995434</v>
      </c>
      <c r="F22" s="54" t="n">
        <f aca="false">E23</f>
        <v>12762649.543379</v>
      </c>
      <c r="G22" s="54" t="n">
        <f aca="false">F23</f>
        <v>19892313.9269406</v>
      </c>
    </row>
    <row r="23" customFormat="false" ht="25.5" hidden="false" customHeight="true" outlineLevel="0" collapsed="false">
      <c r="B23" s="22" t="s">
        <v>145</v>
      </c>
      <c r="C23" s="34" t="n">
        <f aca="false">'⚙️ Assumptions'!C36+C21</f>
        <v>7699189.4977169</v>
      </c>
      <c r="D23" s="34" t="n">
        <f aca="false">C23+D21</f>
        <v>8967933.78995434</v>
      </c>
      <c r="E23" s="34" t="n">
        <f aca="false">D23+E21</f>
        <v>12762649.543379</v>
      </c>
      <c r="F23" s="34" t="n">
        <f aca="false">E23+F21</f>
        <v>19892313.9269406</v>
      </c>
      <c r="G23" s="34" t="n">
        <f aca="false">F23+G21</f>
        <v>31540901.826484</v>
      </c>
    </row>
  </sheetData>
  <mergeCells count="6">
    <mergeCell ref="B1:I1"/>
    <mergeCell ref="B2:I2"/>
    <mergeCell ref="B5:I5"/>
    <mergeCell ref="B12:I12"/>
    <mergeCell ref="B16:I16"/>
    <mergeCell ref="B20:I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766E"/>
    <pageSetUpPr fitToPage="false"/>
  </sheetPr>
  <dimension ref="B1:I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30"/>
    <col collapsed="false" customWidth="true" hidden="false" outlineLevel="0" max="9" min="3" style="1" width="12"/>
    <col collapsed="false" customWidth="true" hidden="false" outlineLevel="0" max="10" min="10" style="1" width="4"/>
  </cols>
  <sheetData>
    <row r="1" customFormat="false" ht="30" hidden="false" customHeight="true" outlineLevel="0" collapsed="false">
      <c r="B1" s="2" t="s">
        <v>146</v>
      </c>
      <c r="C1" s="2"/>
      <c r="D1" s="2"/>
      <c r="E1" s="2"/>
      <c r="F1" s="2"/>
      <c r="G1" s="2"/>
      <c r="H1" s="2"/>
      <c r="I1" s="2"/>
    </row>
    <row r="2" customFormat="false" ht="15.75" hidden="false" customHeight="true" outlineLevel="0" collapsed="false">
      <c r="B2" s="3" t="s">
        <v>147</v>
      </c>
      <c r="C2" s="3"/>
      <c r="D2" s="3"/>
      <c r="E2" s="3"/>
      <c r="F2" s="3"/>
      <c r="G2" s="3"/>
      <c r="H2" s="3"/>
      <c r="I2" s="3"/>
    </row>
    <row r="3" customFormat="false" ht="7.5" hidden="false" customHeight="true" outlineLevel="0" collapsed="false"/>
    <row r="4" customFormat="false" ht="21.75" hidden="false" customHeight="true" outlineLevel="0" collapsed="false">
      <c r="B4" s="22" t="s">
        <v>100</v>
      </c>
      <c r="C4" s="23" t="s">
        <v>40</v>
      </c>
      <c r="D4" s="23" t="s">
        <v>41</v>
      </c>
      <c r="E4" s="23" t="s">
        <v>42</v>
      </c>
      <c r="F4" s="23" t="s">
        <v>43</v>
      </c>
      <c r="G4" s="23" t="s">
        <v>44</v>
      </c>
    </row>
    <row r="5" customFormat="false" ht="21.75" hidden="false" customHeight="true" outlineLevel="0" collapsed="false">
      <c r="B5" s="11" t="s">
        <v>148</v>
      </c>
      <c r="C5" s="55" t="n">
        <f aca="false">'📊 ARR Bridge'!C14</f>
        <v>0.266666666666667</v>
      </c>
      <c r="D5" s="55" t="n">
        <f aca="false">'📊 ARR Bridge'!D14</f>
        <v>0.276190476190476</v>
      </c>
      <c r="E5" s="55" t="n">
        <f aca="false">'📊 ARR Bridge'!E14</f>
        <v>0.261904761904762</v>
      </c>
      <c r="F5" s="55" t="n">
        <f aca="false">'📊 ARR Bridge'!F14</f>
        <v>0.2375</v>
      </c>
      <c r="G5" s="55" t="n">
        <f aca="false">'📊 ARR Bridge'!G14</f>
        <v>0.219230769230769</v>
      </c>
    </row>
    <row r="6" customFormat="false" ht="21.75" hidden="false" customHeight="true" outlineLevel="0" collapsed="false">
      <c r="B6" s="11" t="s">
        <v>149</v>
      </c>
      <c r="C6" s="55" t="n">
        <f aca="false">'📄 Income Statement'!C20</f>
        <v>-0.0174489795918367</v>
      </c>
      <c r="D6" s="55" t="n">
        <f aca="false">'📄 Income Statement'!D20</f>
        <v>0.0440579710144928</v>
      </c>
      <c r="E6" s="55" t="n">
        <f aca="false">'📄 Income Statement'!E20</f>
        <v>0.105826771653543</v>
      </c>
      <c r="F6" s="55" t="n">
        <f aca="false">'📄 Income Statement'!F20</f>
        <v>0.157455621301775</v>
      </c>
      <c r="G6" s="55" t="n">
        <f aca="false">'📄 Income Statement'!G20</f>
        <v>0.198212634822804</v>
      </c>
    </row>
    <row r="7" customFormat="false" ht="21.75" hidden="false" customHeight="true" outlineLevel="0" collapsed="false">
      <c r="B7" s="18" t="s">
        <v>150</v>
      </c>
      <c r="C7" s="36" t="n">
        <f aca="false">'📊 ARR Bridge'!C14+'📄 Income Statement'!C20</f>
        <v>0.24921768707483</v>
      </c>
      <c r="D7" s="36" t="n">
        <f aca="false">'📊 ARR Bridge'!D14+'📄 Income Statement'!D20</f>
        <v>0.320248447204969</v>
      </c>
      <c r="E7" s="36" t="n">
        <f aca="false">'📊 ARR Bridge'!E14+'📄 Income Statement'!E20</f>
        <v>0.367731533558305</v>
      </c>
      <c r="F7" s="36" t="n">
        <f aca="false">'📊 ARR Bridge'!F14+'📄 Income Statement'!F20</f>
        <v>0.394955621301775</v>
      </c>
      <c r="G7" s="36" t="n">
        <f aca="false">'📊 ARR Bridge'!G14+'📄 Income Statement'!G20</f>
        <v>0.417443404053574</v>
      </c>
    </row>
    <row r="8" customFormat="false" ht="21.75" hidden="false" customHeight="true" outlineLevel="0" collapsed="false">
      <c r="B8" s="40" t="s">
        <v>151</v>
      </c>
      <c r="C8" s="56" t="n">
        <f aca="false">'📊 ARR Bridge'!C15</f>
        <v>1.03333333333333</v>
      </c>
      <c r="D8" s="56" t="n">
        <f aca="false">'📊 ARR Bridge'!D15</f>
        <v>1.03809523809524</v>
      </c>
      <c r="E8" s="56" t="n">
        <f aca="false">'📊 ARR Bridge'!E15</f>
        <v>1.04081632653061</v>
      </c>
      <c r="F8" s="56" t="n">
        <f aca="false">'📊 ARR Bridge'!F15</f>
        <v>1.0375</v>
      </c>
      <c r="G8" s="56" t="n">
        <f aca="false">'📊 ARR Bridge'!G15</f>
        <v>1.03653846153846</v>
      </c>
    </row>
    <row r="9" customFormat="false" ht="21.75" hidden="false" customHeight="true" outlineLevel="0" collapsed="false">
      <c r="B9" s="11" t="s">
        <v>152</v>
      </c>
      <c r="C9" s="55" t="n">
        <f aca="false">'📊 ARR Bridge'!C16</f>
        <v>0.98</v>
      </c>
      <c r="D9" s="55" t="n">
        <f aca="false">'📊 ARR Bridge'!D16</f>
        <v>0.978571428571429</v>
      </c>
      <c r="E9" s="55" t="n">
        <f aca="false">'📊 ARR Bridge'!E16</f>
        <v>0.979591836734694</v>
      </c>
      <c r="F9" s="55" t="n">
        <f aca="false">'📊 ARR Bridge'!F16</f>
        <v>0.98</v>
      </c>
      <c r="G9" s="55" t="n">
        <f aca="false">'📊 ARR Bridge'!G16</f>
        <v>0.980769230769231</v>
      </c>
    </row>
    <row r="10" customFormat="false" ht="21.75" hidden="false" customHeight="true" outlineLevel="0" collapsed="false">
      <c r="B10" s="11" t="s">
        <v>153</v>
      </c>
      <c r="C10" s="39" t="n">
        <f aca="false">'⚙️ Assumptions'!C29</f>
        <v>18000</v>
      </c>
      <c r="D10" s="39" t="n">
        <f aca="false">'⚙️ Assumptions'!D29</f>
        <v>17000</v>
      </c>
      <c r="E10" s="39" t="n">
        <f aca="false">'⚙️ Assumptions'!E29</f>
        <v>16000</v>
      </c>
      <c r="F10" s="39" t="n">
        <f aca="false">'⚙️ Assumptions'!F29</f>
        <v>15000</v>
      </c>
      <c r="G10" s="39" t="n">
        <f aca="false">'⚙️ Assumptions'!G29</f>
        <v>14000</v>
      </c>
    </row>
    <row r="11" customFormat="false" ht="21.75" hidden="false" customHeight="true" outlineLevel="0" collapsed="false">
      <c r="B11" s="11" t="s">
        <v>154</v>
      </c>
      <c r="C11" s="39" t="n">
        <f aca="false">'⚙️ Assumptions'!C30</f>
        <v>35000</v>
      </c>
      <c r="D11" s="39" t="n">
        <f aca="false">'⚙️ Assumptions'!D30</f>
        <v>36000</v>
      </c>
      <c r="E11" s="39" t="n">
        <f aca="false">'⚙️ Assumptions'!E30</f>
        <v>37000</v>
      </c>
      <c r="F11" s="39" t="n">
        <f aca="false">'⚙️ Assumptions'!F30</f>
        <v>38000</v>
      </c>
      <c r="G11" s="39" t="n">
        <f aca="false">'⚙️ Assumptions'!G30</f>
        <v>39000</v>
      </c>
    </row>
    <row r="12" customFormat="false" ht="21.75" hidden="false" customHeight="true" outlineLevel="0" collapsed="false">
      <c r="B12" s="57" t="s">
        <v>155</v>
      </c>
      <c r="C12" s="58" t="n">
        <f aca="false">IFERROR('⚙️ Assumptions'!C29/('⚙️ Assumptions'!C30*'📄 Income Statement'!C13/12),0)</f>
        <v>8.7843137254902</v>
      </c>
      <c r="D12" s="58" t="n">
        <f aca="false">IFERROR('⚙️ Assumptions'!D29/('⚙️ Assumptions'!D30*'📄 Income Statement'!D13/12),0)</f>
        <v>7.93586360868683</v>
      </c>
      <c r="E12" s="58" t="n">
        <f aca="false">IFERROR('⚙️ Assumptions'!E29/('⚙️ Assumptions'!E30*'📄 Income Statement'!E13/12),0)</f>
        <v>7.14934939278615</v>
      </c>
      <c r="F12" s="58" t="n">
        <f aca="false">IFERROR('⚙️ Assumptions'!F29/('⚙️ Assumptions'!F30*'📄 Income Statement'!F13/12),0)</f>
        <v>6.42322326718666</v>
      </c>
      <c r="G12" s="58" t="n">
        <f aca="false">IFERROR('⚙️ Assumptions'!G29/('⚙️ Assumptions'!G30*'📄 Income Statement'!G13/12),0)</f>
        <v>5.75731029817811</v>
      </c>
    </row>
    <row r="13" customFormat="false" ht="21.75" hidden="false" customHeight="true" outlineLevel="0" collapsed="false">
      <c r="B13" s="18" t="s">
        <v>156</v>
      </c>
      <c r="C13" s="31" t="n">
        <f aca="false">'⚙️ Assumptions'!C30*'📄 Income Statement'!C13*3</f>
        <v>73767.8571428572</v>
      </c>
      <c r="D13" s="31" t="n">
        <f aca="false">'⚙️ Assumptions'!D30*'📄 Income Statement'!D13*3</f>
        <v>77118.2608695652</v>
      </c>
      <c r="E13" s="31" t="n">
        <f aca="false">'⚙️ Assumptions'!E30*'📄 Income Statement'!E13*3</f>
        <v>80566.7716535433</v>
      </c>
      <c r="F13" s="31" t="n">
        <f aca="false">'⚙️ Assumptions'!F30*'📄 Income Statement'!F13*3</f>
        <v>84069.9408284024</v>
      </c>
      <c r="G13" s="31" t="n">
        <f aca="false">'⚙️ Assumptions'!G30*'📄 Income Statement'!G13*3</f>
        <v>87540.8782742681</v>
      </c>
    </row>
    <row r="14" customFormat="false" ht="21.75" hidden="false" customHeight="true" outlineLevel="0" collapsed="false">
      <c r="B14" s="18" t="s">
        <v>157</v>
      </c>
      <c r="C14" s="59" t="n">
        <f aca="false">IFERROR(C13/'⚙️ Assumptions'!C29,0)</f>
        <v>4.09821428571429</v>
      </c>
      <c r="D14" s="59" t="n">
        <f aca="false">IFERROR(D13/'⚙️ Assumptions'!D29,0)</f>
        <v>4.53636828644501</v>
      </c>
      <c r="E14" s="59" t="n">
        <f aca="false">IFERROR(E13/'⚙️ Assumptions'!E29,0)</f>
        <v>5.03542322834646</v>
      </c>
      <c r="F14" s="59" t="n">
        <f aca="false">IFERROR(F13/'⚙️ Assumptions'!F29,0)</f>
        <v>5.60466272189349</v>
      </c>
      <c r="G14" s="59" t="n">
        <f aca="false">IFERROR(G13/'⚙️ Assumptions'!G29,0)</f>
        <v>6.25291987673344</v>
      </c>
    </row>
    <row r="15" customFormat="false" ht="21.75" hidden="false" customHeight="true" outlineLevel="0" collapsed="false">
      <c r="B15" s="40" t="s">
        <v>158</v>
      </c>
      <c r="C15" s="60" t="n">
        <f aca="false">IFERROR(('📊 ARR Bridge'!C10-'📊 ARR Bridge'!C5)/('📄 Income Statement'!C15*-1),0)</f>
        <v>0.537056928034372</v>
      </c>
      <c r="D15" s="60" t="n">
        <f aca="false">IFERROR(('📊 ARR Bridge'!D10-'📊 ARR Bridge'!D5)/('📄 Income Statement'!C15*-1),0)</f>
        <v>0.778732545649839</v>
      </c>
      <c r="E15" s="60" t="n">
        <f aca="false">IFERROR(('📊 ARR Bridge'!E10-'📊 ARR Bridge'!E5)/('📄 Income Statement'!D15*-1),0)</f>
        <v>0.797101449275362</v>
      </c>
      <c r="F15" s="60" t="n">
        <f aca="false">IFERROR(('📊 ARR Bridge'!F10-'📊 ARR Bridge'!F5)/('📄 Income Statement'!E15*-1),0)</f>
        <v>0.779199475065617</v>
      </c>
      <c r="G15" s="60" t="n">
        <f aca="false">IFERROR(('📊 ARR Bridge'!G10-'📊 ARR Bridge'!G5)/('📄 Income Statement'!F15*-1),0)</f>
        <v>0.749506903353057</v>
      </c>
    </row>
    <row r="16" customFormat="false" ht="21.75" hidden="false" customHeight="true" outlineLevel="0" collapsed="false">
      <c r="B16" s="11" t="s">
        <v>159</v>
      </c>
      <c r="C16" s="39" t="n">
        <f aca="false">IFERROR('📄 Income Statement'!C8/'⚙️ Assumptions'!C27,0)</f>
        <v>230588.235294118</v>
      </c>
      <c r="D16" s="39" t="n">
        <f aca="false">IFERROR('📄 Income Statement'!D8/'⚙️ Assumptions'!D27,0)</f>
        <v>250909.090909091</v>
      </c>
      <c r="E16" s="39" t="n">
        <f aca="false">IFERROR('📄 Income Statement'!E8/'⚙️ Assumptions'!E27,0)</f>
        <v>272142.857142857</v>
      </c>
      <c r="F16" s="39" t="n">
        <f aca="false">IFERROR('📄 Income Statement'!F8/'⚙️ Assumptions'!F27,0)</f>
        <v>289714.285714286</v>
      </c>
      <c r="G16" s="39" t="n">
        <f aca="false">IFERROR('📄 Income Statement'!G8/'⚙️ Assumptions'!G27,0)</f>
        <v>301860.465116279</v>
      </c>
    </row>
  </sheetData>
  <mergeCells count="2">
    <mergeCell ref="B1:I1"/>
    <mergeCell ref="B2:I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6534"/>
    <pageSetUpPr fitToPage="false"/>
  </sheetPr>
  <dimension ref="B1:I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1.51"/>
    <col collapsed="false" customWidth="true" hidden="false" outlineLevel="0" max="2" min="2" style="1" width="28"/>
    <col collapsed="false" customWidth="true" hidden="false" outlineLevel="0" max="9" min="3" style="1" width="13"/>
    <col collapsed="false" customWidth="true" hidden="false" outlineLevel="0" max="10" min="10" style="1" width="4"/>
  </cols>
  <sheetData>
    <row r="1" customFormat="false" ht="30" hidden="false" customHeight="true" outlineLevel="0" collapsed="false">
      <c r="B1" s="2" t="s">
        <v>160</v>
      </c>
      <c r="C1" s="2"/>
      <c r="D1" s="2"/>
      <c r="E1" s="2"/>
      <c r="F1" s="2"/>
      <c r="G1" s="2"/>
      <c r="H1" s="2"/>
      <c r="I1" s="2"/>
    </row>
    <row r="2" customFormat="false" ht="15.75" hidden="false" customHeight="true" outlineLevel="0" collapsed="false">
      <c r="B2" s="3" t="s">
        <v>161</v>
      </c>
      <c r="C2" s="3"/>
      <c r="D2" s="3"/>
      <c r="E2" s="3"/>
      <c r="F2" s="3"/>
      <c r="G2" s="3"/>
      <c r="H2" s="3"/>
      <c r="I2" s="3"/>
    </row>
    <row r="3" customFormat="false" ht="7.5" hidden="false" customHeight="true" outlineLevel="0" collapsed="false"/>
    <row r="4" customFormat="false" ht="21.75" hidden="false" customHeight="true" outlineLevel="0" collapsed="false">
      <c r="B4" s="22" t="s">
        <v>162</v>
      </c>
      <c r="C4" s="23" t="s">
        <v>40</v>
      </c>
      <c r="D4" s="23" t="s">
        <v>41</v>
      </c>
      <c r="E4" s="23" t="s">
        <v>42</v>
      </c>
      <c r="F4" s="23" t="s">
        <v>43</v>
      </c>
      <c r="G4" s="23" t="s">
        <v>44</v>
      </c>
    </row>
    <row r="5" customFormat="false" ht="19.5" hidden="false" customHeight="true" outlineLevel="0" collapsed="false">
      <c r="B5" s="21" t="s">
        <v>163</v>
      </c>
      <c r="C5" s="21"/>
      <c r="D5" s="21"/>
      <c r="E5" s="21"/>
      <c r="F5" s="21"/>
      <c r="G5" s="21"/>
      <c r="H5" s="21"/>
      <c r="I5" s="21"/>
    </row>
    <row r="6" customFormat="false" ht="21.75" hidden="false" customHeight="true" outlineLevel="0" collapsed="false">
      <c r="B6" s="40" t="s">
        <v>164</v>
      </c>
      <c r="C6" s="41" t="n">
        <f aca="false">'📊 ARR Bridge'!C10</f>
        <v>19000000</v>
      </c>
      <c r="D6" s="41" t="n">
        <f aca="false">'📊 ARR Bridge'!D10</f>
        <v>26800000</v>
      </c>
      <c r="E6" s="41" t="n">
        <f aca="false">'📊 ARR Bridge'!E10</f>
        <v>37100000</v>
      </c>
      <c r="F6" s="41" t="n">
        <f aca="false">'📊 ARR Bridge'!F10</f>
        <v>49500000</v>
      </c>
      <c r="G6" s="41" t="n">
        <f aca="false">'📊 ARR Bridge'!G10</f>
        <v>63400000</v>
      </c>
    </row>
    <row r="7" customFormat="false" ht="19.5" hidden="false" customHeight="true" outlineLevel="0" collapsed="false">
      <c r="B7" s="11" t="s">
        <v>165</v>
      </c>
      <c r="C7" s="39" t="n">
        <f aca="false">'📄 Income Statement'!C8</f>
        <v>19600000</v>
      </c>
      <c r="D7" s="39" t="n">
        <f aca="false">'📄 Income Statement'!D8</f>
        <v>27600000</v>
      </c>
      <c r="E7" s="39" t="n">
        <f aca="false">'📄 Income Statement'!E8</f>
        <v>38100000</v>
      </c>
      <c r="F7" s="39" t="n">
        <f aca="false">'📄 Income Statement'!F8</f>
        <v>50700000</v>
      </c>
      <c r="G7" s="39" t="n">
        <f aca="false">'📄 Income Statement'!G8</f>
        <v>64900000</v>
      </c>
    </row>
    <row r="8" customFormat="false" ht="19.5" hidden="false" customHeight="true" outlineLevel="0" collapsed="false">
      <c r="B8" s="11" t="s">
        <v>101</v>
      </c>
      <c r="C8" s="55" t="n">
        <f aca="false">'📊 ARR Bridge'!C14</f>
        <v>0.266666666666667</v>
      </c>
      <c r="D8" s="55" t="n">
        <f aca="false">'📊 ARR Bridge'!D14</f>
        <v>0.276190476190476</v>
      </c>
      <c r="E8" s="55" t="n">
        <f aca="false">'📊 ARR Bridge'!E14</f>
        <v>0.261904761904762</v>
      </c>
      <c r="F8" s="55" t="n">
        <f aca="false">'📊 ARR Bridge'!F14</f>
        <v>0.2375</v>
      </c>
      <c r="G8" s="55" t="n">
        <f aca="false">'📊 ARR Bridge'!G14</f>
        <v>0.219230769230769</v>
      </c>
    </row>
    <row r="9" customFormat="false" ht="21.75" hidden="false" customHeight="true" outlineLevel="0" collapsed="false">
      <c r="B9" s="18" t="s">
        <v>151</v>
      </c>
      <c r="C9" s="36" t="n">
        <f aca="false">'📊 ARR Bridge'!C15</f>
        <v>1.03333333333333</v>
      </c>
      <c r="D9" s="36" t="n">
        <f aca="false">'📊 ARR Bridge'!D15</f>
        <v>1.03809523809524</v>
      </c>
      <c r="E9" s="36" t="n">
        <f aca="false">'📊 ARR Bridge'!E15</f>
        <v>1.04081632653061</v>
      </c>
      <c r="F9" s="36" t="n">
        <f aca="false">'📊 ARR Bridge'!F15</f>
        <v>1.0375</v>
      </c>
      <c r="G9" s="36" t="n">
        <f aca="false">'📊 ARR Bridge'!G15</f>
        <v>1.03653846153846</v>
      </c>
    </row>
    <row r="10" customFormat="false" ht="19.5" hidden="false" customHeight="true" outlineLevel="0" collapsed="false">
      <c r="B10" s="21" t="s">
        <v>166</v>
      </c>
      <c r="C10" s="21"/>
      <c r="D10" s="21"/>
      <c r="E10" s="21"/>
      <c r="F10" s="21"/>
      <c r="G10" s="21"/>
      <c r="H10" s="21"/>
      <c r="I10" s="21"/>
    </row>
    <row r="11" customFormat="false" ht="19.5" hidden="false" customHeight="true" outlineLevel="0" collapsed="false">
      <c r="B11" s="11" t="s">
        <v>59</v>
      </c>
      <c r="C11" s="55" t="n">
        <f aca="false">'📄 Income Statement'!C13</f>
        <v>0.702551020408163</v>
      </c>
      <c r="D11" s="55" t="n">
        <f aca="false">'📄 Income Statement'!D13</f>
        <v>0.714057971014493</v>
      </c>
      <c r="E11" s="55" t="n">
        <f aca="false">'📄 Income Statement'!E13</f>
        <v>0.725826771653543</v>
      </c>
      <c r="F11" s="55" t="n">
        <f aca="false">'📄 Income Statement'!F13</f>
        <v>0.737455621301775</v>
      </c>
      <c r="G11" s="55" t="n">
        <f aca="false">'📄 Income Statement'!G13</f>
        <v>0.748212634822804</v>
      </c>
    </row>
    <row r="12" customFormat="false" ht="21.75" hidden="false" customHeight="true" outlineLevel="0" collapsed="false">
      <c r="B12" s="40" t="s">
        <v>121</v>
      </c>
      <c r="C12" s="41" t="n">
        <f aca="false">'📄 Income Statement'!C19</f>
        <v>-342000</v>
      </c>
      <c r="D12" s="41" t="n">
        <f aca="false">'📄 Income Statement'!D19</f>
        <v>1216000</v>
      </c>
      <c r="E12" s="41" t="n">
        <f aca="false">'📄 Income Statement'!E19</f>
        <v>4032000</v>
      </c>
      <c r="F12" s="41" t="n">
        <f aca="false">'📄 Income Statement'!F19</f>
        <v>7983000</v>
      </c>
      <c r="G12" s="41" t="n">
        <f aca="false">'📄 Income Statement'!G19</f>
        <v>12864000</v>
      </c>
    </row>
    <row r="13" customFormat="false" ht="19.5" hidden="false" customHeight="true" outlineLevel="0" collapsed="false">
      <c r="B13" s="11" t="s">
        <v>122</v>
      </c>
      <c r="C13" s="55" t="n">
        <f aca="false">'📄 Income Statement'!C20</f>
        <v>-0.0174489795918367</v>
      </c>
      <c r="D13" s="55" t="n">
        <f aca="false">'📄 Income Statement'!D20</f>
        <v>0.0440579710144928</v>
      </c>
      <c r="E13" s="55" t="n">
        <f aca="false">'📄 Income Statement'!E20</f>
        <v>0.105826771653543</v>
      </c>
      <c r="F13" s="55" t="n">
        <f aca="false">'📄 Income Statement'!F20</f>
        <v>0.157455621301775</v>
      </c>
      <c r="G13" s="55" t="n">
        <f aca="false">'📄 Income Statement'!G20</f>
        <v>0.198212634822804</v>
      </c>
    </row>
    <row r="14" customFormat="false" ht="21.75" hidden="false" customHeight="true" outlineLevel="0" collapsed="false">
      <c r="B14" s="18" t="s">
        <v>167</v>
      </c>
      <c r="C14" s="36" t="n">
        <f aca="false">'📈 SaaS Metrics'!C7</f>
        <v>0.24921768707483</v>
      </c>
      <c r="D14" s="36" t="n">
        <f aca="false">'📈 SaaS Metrics'!D7</f>
        <v>0.320248447204969</v>
      </c>
      <c r="E14" s="36" t="n">
        <f aca="false">'📈 SaaS Metrics'!E7</f>
        <v>0.367731533558305</v>
      </c>
      <c r="F14" s="36" t="n">
        <f aca="false">'📈 SaaS Metrics'!F7</f>
        <v>0.394955621301775</v>
      </c>
      <c r="G14" s="36" t="n">
        <f aca="false">'📈 SaaS Metrics'!G7</f>
        <v>0.417443404053574</v>
      </c>
    </row>
    <row r="15" customFormat="false" ht="19.5" hidden="false" customHeight="true" outlineLevel="0" collapsed="false">
      <c r="B15" s="21" t="s">
        <v>168</v>
      </c>
      <c r="C15" s="21"/>
      <c r="D15" s="21"/>
      <c r="E15" s="21"/>
      <c r="F15" s="21"/>
      <c r="G15" s="21"/>
      <c r="H15" s="21"/>
      <c r="I15" s="21"/>
    </row>
    <row r="16" customFormat="false" ht="21.75" hidden="false" customHeight="true" outlineLevel="0" collapsed="false">
      <c r="B16" s="40" t="s">
        <v>169</v>
      </c>
      <c r="C16" s="41" t="n">
        <f aca="false">'💵 Cash Flow'!C23</f>
        <v>7699189.4977169</v>
      </c>
      <c r="D16" s="41" t="n">
        <f aca="false">'💵 Cash Flow'!D23</f>
        <v>8967933.78995434</v>
      </c>
      <c r="E16" s="41" t="n">
        <f aca="false">'💵 Cash Flow'!E23</f>
        <v>12762649.543379</v>
      </c>
      <c r="F16" s="41" t="n">
        <f aca="false">'💵 Cash Flow'!F23</f>
        <v>19892313.9269406</v>
      </c>
      <c r="G16" s="41" t="n">
        <f aca="false">'💵 Cash Flow'!G23</f>
        <v>31540901.826484</v>
      </c>
    </row>
    <row r="17" customFormat="false" ht="19.5" hidden="false" customHeight="true" outlineLevel="0" collapsed="false">
      <c r="B17" s="11" t="s">
        <v>131</v>
      </c>
      <c r="C17" s="39" t="n">
        <f aca="false">'📄 Income Statement'!C24</f>
        <v>-538000</v>
      </c>
      <c r="D17" s="39" t="n">
        <f aca="false">'📄 Income Statement'!D24</f>
        <v>705000</v>
      </c>
      <c r="E17" s="39" t="n">
        <f aca="false">'📄 Income Statement'!E24</f>
        <v>2738250</v>
      </c>
      <c r="F17" s="39" t="n">
        <f aca="false">'📄 Income Statement'!F24</f>
        <v>5607000</v>
      </c>
      <c r="G17" s="39" t="n">
        <f aca="false">'📄 Income Statement'!G24</f>
        <v>9161250</v>
      </c>
    </row>
    <row r="18" customFormat="false" ht="19.5" hidden="false" customHeight="true" outlineLevel="0" collapsed="false">
      <c r="B18" s="21" t="s">
        <v>170</v>
      </c>
      <c r="C18" s="21"/>
      <c r="D18" s="21"/>
      <c r="E18" s="21"/>
      <c r="F18" s="21"/>
      <c r="G18" s="21"/>
      <c r="H18" s="21"/>
      <c r="I18" s="21"/>
    </row>
    <row r="19" customFormat="false" ht="19.5" hidden="false" customHeight="true" outlineLevel="0" collapsed="false">
      <c r="B19" s="11" t="s">
        <v>171</v>
      </c>
      <c r="C19" s="61" t="n">
        <f aca="false">'📈 SaaS Metrics'!C12</f>
        <v>8.7843137254902</v>
      </c>
      <c r="D19" s="61" t="n">
        <f aca="false">'📈 SaaS Metrics'!D12</f>
        <v>7.93586360868683</v>
      </c>
      <c r="E19" s="61" t="n">
        <f aca="false">'📈 SaaS Metrics'!E12</f>
        <v>7.14934939278615</v>
      </c>
      <c r="F19" s="61" t="n">
        <f aca="false">'📈 SaaS Metrics'!F12</f>
        <v>6.42322326718666</v>
      </c>
      <c r="G19" s="61" t="n">
        <f aca="false">'📈 SaaS Metrics'!G12</f>
        <v>5.75731029817811</v>
      </c>
    </row>
    <row r="20" customFormat="false" ht="21.75" hidden="false" customHeight="true" outlineLevel="0" collapsed="false">
      <c r="B20" s="18" t="s">
        <v>157</v>
      </c>
      <c r="C20" s="59" t="n">
        <f aca="false">'📈 SaaS Metrics'!C14</f>
        <v>4.09821428571429</v>
      </c>
      <c r="D20" s="59" t="n">
        <f aca="false">'📈 SaaS Metrics'!D14</f>
        <v>4.53636828644501</v>
      </c>
      <c r="E20" s="59" t="n">
        <f aca="false">'📈 SaaS Metrics'!E14</f>
        <v>5.03542322834646</v>
      </c>
      <c r="F20" s="59" t="n">
        <f aca="false">'📈 SaaS Metrics'!F14</f>
        <v>5.60466272189349</v>
      </c>
      <c r="G20" s="59" t="n">
        <f aca="false">'📈 SaaS Metrics'!G14</f>
        <v>6.25291987673344</v>
      </c>
    </row>
    <row r="21" customFormat="false" ht="19.5" hidden="false" customHeight="true" outlineLevel="0" collapsed="false">
      <c r="B21" s="11" t="s">
        <v>172</v>
      </c>
      <c r="C21" s="39" t="n">
        <f aca="false">'📈 SaaS Metrics'!C16</f>
        <v>230588.235294118</v>
      </c>
      <c r="D21" s="39" t="n">
        <f aca="false">'📈 SaaS Metrics'!D16</f>
        <v>250909.090909091</v>
      </c>
      <c r="E21" s="39" t="n">
        <f aca="false">'📈 SaaS Metrics'!E16</f>
        <v>272142.857142857</v>
      </c>
      <c r="F21" s="39" t="n">
        <f aca="false">'📈 SaaS Metrics'!F16</f>
        <v>289714.285714286</v>
      </c>
      <c r="G21" s="39" t="n">
        <f aca="false">'📈 SaaS Metrics'!G16</f>
        <v>301860.465116279</v>
      </c>
    </row>
    <row r="22" customFormat="false" ht="19.5" hidden="false" customHeight="true" outlineLevel="0" collapsed="false">
      <c r="B22" s="11" t="s">
        <v>173</v>
      </c>
      <c r="C22" s="62" t="n">
        <f aca="false">'⚙️ Assumptions'!C27</f>
        <v>85</v>
      </c>
      <c r="D22" s="62" t="n">
        <f aca="false">'⚙️ Assumptions'!D27</f>
        <v>110</v>
      </c>
      <c r="E22" s="62" t="n">
        <f aca="false">'⚙️ Assumptions'!E27</f>
        <v>140</v>
      </c>
      <c r="F22" s="62" t="n">
        <f aca="false">'⚙️ Assumptions'!F27</f>
        <v>175</v>
      </c>
      <c r="G22" s="62" t="n">
        <f aca="false">'⚙️ Assumptions'!G27</f>
        <v>215</v>
      </c>
    </row>
    <row r="24" customFormat="false" ht="18" hidden="false" customHeight="true" outlineLevel="0" collapsed="false">
      <c r="B24" s="20" t="s">
        <v>35</v>
      </c>
      <c r="C24" s="20"/>
      <c r="D24" s="20"/>
      <c r="E24" s="20"/>
      <c r="F24" s="20"/>
      <c r="G24" s="20"/>
      <c r="H24" s="20"/>
      <c r="I24" s="20"/>
    </row>
  </sheetData>
  <mergeCells count="7">
    <mergeCell ref="B1:I1"/>
    <mergeCell ref="B2:I2"/>
    <mergeCell ref="B5:I5"/>
    <mergeCell ref="B10:I10"/>
    <mergeCell ref="B15:I15"/>
    <mergeCell ref="B18:I18"/>
    <mergeCell ref="B24:I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2026-03-15T04:18:50Z</dcterms:created>
  <dc:creator>openpyxl</dc:creator>
  <dc:description/>
  <dc:language>en-US</dc:language>
  <cp:lastModifiedBy/>
  <dcterms:modified xsi:type="dcterms:W3CDTF">2026-03-15T04:19:58Z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